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to\Desktop\"/>
    </mc:Choice>
  </mc:AlternateContent>
  <bookViews>
    <workbookView xWindow="0" yWindow="0" windowWidth="16815" windowHeight="7155" tabRatio="862" firstSheet="2" activeTab="3"/>
  </bookViews>
  <sheets>
    <sheet name="Variabilné náklady a bod zvratu" sheetId="1" state="hidden" r:id="rId1"/>
    <sheet name="Kalkulácie v nezdruženej výrobe" sheetId="5" r:id="rId2"/>
    <sheet name="Kalkulácie v združenej výrobe" sheetId="6" r:id="rId3"/>
    <sheet name="Kalkulácie (ne)úplných nákladov" sheetId="3" r:id="rId4"/>
    <sheet name="Predbežné kalkulácie" sheetId="7" r:id="rId5"/>
    <sheet name="Zodpovednostné účtovníctvo" sheetId="8" r:id="rId6"/>
    <sheet name="Preúčtovanie nákladov" sheetId="13" r:id="rId7"/>
    <sheet name="Sheet7" sheetId="21" r:id="rId8"/>
  </sheets>
  <definedNames>
    <definedName name="Analýza_bodu_zvratu__bezpečnostné_rozpätie">'Variabilné náklady a bod zvratu'!$A$69</definedName>
    <definedName name="Analýza_bodu_zvratu__citlivosť_na_pokles_tržieb">'Variabilné náklady a bod zvratu'!$A$74</definedName>
    <definedName name="Analýza_bodu_zvratu__citlivosť_na_vzrast_fixných_nákladov">'Variabilné náklady a bod zvratu'!$A$83</definedName>
    <definedName name="Analýza_bodu_zvratu__citlivosť_na_vzrast_variabilných_nákladov_na_jednotku">'Variabilné náklady a bod zvratu'!$A$93</definedName>
    <definedName name="Analýza_bodu_zvratu__objem_tržieb_potrebný_na_dosiahnutie_cieľového_zisku">'Variabilné náklady a bod zvratu'!$A$49</definedName>
    <definedName name="Analýza_bodu_zvratu__objem_tržieb_potrebný_na_dosiahnutie_cieľovej_rentability">'Variabilné náklady a bod zvratu'!$A$58</definedName>
    <definedName name="Analýza_bodu_zvratu__objem_tržieb_potrebný_na_dosiahnutie_nulového_zisku">'Variabilné náklady a bod zvratu'!$A$39</definedName>
    <definedName name="Analýza_bodu_zvratu__objem_výroby_a_predaja_potrebný_na_dosiahnutie_cieľového_zisku">'Variabilné náklady a bod zvratu'!$A$19</definedName>
    <definedName name="Analýza_bodu_zvratu__objem_výroby_a_predaja_potrebný_na_dosiahnutie_cieľovej_rentability">'Variabilné náklady a bod zvratu'!$A$28</definedName>
    <definedName name="Analýza_bodu_zvratu__objem_výroby_a_predaja_potrebný_na_dosiahnutie_nulového_zisku">'Variabilné náklady a bod zvratu'!$A$11</definedName>
    <definedName name="Kalkulácia_cieľových_nákladov">'Predbežné kalkulácie'!$A$23</definedName>
    <definedName name="Kalkulácia_jednoduchým_delením">'Kalkulácie v nezdruženej výrobe'!$A$13</definedName>
    <definedName name="Kalkulácia_neúplných_nákladov">'Kalkulácie (ne)úplných nákladov'!$A$18</definedName>
    <definedName name="Kalkulácia_odpočítaním">'Kalkulácie v združenej výrobe'!$A$37</definedName>
    <definedName name="Kalkulácia_podľa_čiastkových_činností__Activity_Based_Costing__ABC">'Kalkulácie v nezdruženej výrobe'!$A$32</definedName>
    <definedName name="Kalkulácia_úplných_nákladov">'Kalkulácie (ne)úplných nákladov'!$A$1</definedName>
    <definedName name="_xlnm.Print_Area" localSheetId="3">'Kalkulácie (ne)úplných nákladov'!$A$1:$E$33</definedName>
    <definedName name="_xlnm.Print_Area" localSheetId="1">'Kalkulácie v nezdruženej výrobe'!$A$1:$F$39</definedName>
    <definedName name="_xlnm.Print_Area" localSheetId="2">'Kalkulácie v združenej výrobe'!$A$1:$F$35</definedName>
    <definedName name="_xlnm.Print_Area" localSheetId="4">'Predbežné kalkulácie'!$A$1:$N$28</definedName>
    <definedName name="_xlnm.Print_Area" localSheetId="0">'Variabilné náklady a bod zvratu'!$A$1:$F$111</definedName>
    <definedName name="Prirážková_kalkulácia">'Kalkulácie v nezdruženej výrobe'!$A$22</definedName>
    <definedName name="Rozdeľovanie_fixných_a_variabilných_nákladov">'Variabilné náklady a bod zvratu'!$A$1</definedName>
    <definedName name="Rozpočítanie_s_využitím_percenta_obchodnej_marže">'Kalkulácie v združenej výrobe'!$A$20</definedName>
    <definedName name="solver_adj" localSheetId="6" hidden="1">'Preúčtovanie nákladov'!$K$3:$K$6</definedName>
    <definedName name="solver_cvg" localSheetId="6" hidden="1">0.0001</definedName>
    <definedName name="solver_drv" localSheetId="6" hidden="1">1</definedName>
    <definedName name="solver_eng" localSheetId="6" hidden="1">2</definedName>
    <definedName name="solver_est" localSheetId="6" hidden="1">1</definedName>
    <definedName name="solver_itr" localSheetId="6" hidden="1">2147483647</definedName>
    <definedName name="solver_lhs1" localSheetId="6" hidden="1">'Preúčtovanie nákladov'!$K$3</definedName>
    <definedName name="solver_lhs2" localSheetId="6" hidden="1">'Preúčtovanie nákladov'!$K$4</definedName>
    <definedName name="solver_lhs3" localSheetId="6" hidden="1">'Preúčtovanie nákladov'!$K$5</definedName>
    <definedName name="solver_lhs4" localSheetId="6" hidden="1">'Preúčtovanie nákladov'!$K$6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6" hidden="1">1</definedName>
    <definedName name="solver_nod" localSheetId="6" hidden="1">2147483647</definedName>
    <definedName name="solver_num" localSheetId="6" hidden="1">4</definedName>
    <definedName name="solver_nwt" localSheetId="6" hidden="1">1</definedName>
    <definedName name="solver_opt" localSheetId="6" hidden="1">'Preúčtovanie nákladov'!$O$7</definedName>
    <definedName name="solver_pre" localSheetId="6" hidden="1">0.000001</definedName>
    <definedName name="solver_rbv" localSheetId="6" hidden="1">2</definedName>
    <definedName name="solver_rel1" localSheetId="6" hidden="1">2</definedName>
    <definedName name="solver_rel2" localSheetId="6" hidden="1">2</definedName>
    <definedName name="solver_rel3" localSheetId="6" hidden="1">2</definedName>
    <definedName name="solver_rel4" localSheetId="6" hidden="1">2</definedName>
    <definedName name="solver_rhs1" localSheetId="6" hidden="1">'Preúčtovanie nákladov'!$B$3+'Preúčtovanie nákladov'!$C$4*'Preúčtovanie nákladov'!$K$4+'Preúčtovanie nákladov'!$C$5*'Preúčtovanie nákladov'!$K$5+'Preúčtovanie nákladov'!$C$6*'Preúčtovanie nákladov'!$K$6</definedName>
    <definedName name="solver_rhs2" localSheetId="6" hidden="1">'Preúčtovanie nákladov'!$B$4+'Preúčtovanie nákladov'!$D$3*'Preúčtovanie nákladov'!$K$3+'Preúčtovanie nákladov'!$D$5*'Preúčtovanie nákladov'!$K$5+'Preúčtovanie nákladov'!$D$6*'Preúčtovanie nákladov'!$K$6</definedName>
    <definedName name="solver_rhs3" localSheetId="6" hidden="1">'Preúčtovanie nákladov'!$B$5+'Preúčtovanie nákladov'!$E$3*'Preúčtovanie nákladov'!$K$3+'Preúčtovanie nákladov'!$E$4*'Preúčtovanie nákladov'!$K$4+'Preúčtovanie nákladov'!$E$6*'Preúčtovanie nákladov'!$K$6</definedName>
    <definedName name="solver_rhs4" localSheetId="6" hidden="1">'Preúčtovanie nákladov'!$B$6+'Preúčtovanie nákladov'!$F$3*'Preúčtovanie nákladov'!$K$3+'Preúčtovanie nákladov'!$F$4*'Preúčtovanie nákladov'!$K$4+'Preúčtovanie nákladov'!$F$5*'Preúčtovanie nákladov'!$K$5</definedName>
    <definedName name="solver_rlx" localSheetId="6" hidden="1">2</definedName>
    <definedName name="solver_rsd" localSheetId="6" hidden="1">0</definedName>
    <definedName name="solver_scl" localSheetId="6" hidden="1">2</definedName>
    <definedName name="solver_sho" localSheetId="6" hidden="1">2</definedName>
    <definedName name="solver_ssz" localSheetId="6" hidden="1">0</definedName>
    <definedName name="solver_tim" localSheetId="6" hidden="1">2147483647</definedName>
    <definedName name="solver_tol" localSheetId="6" hidden="1">0.01</definedName>
    <definedName name="solver_typ" localSheetId="6" hidden="1">3</definedName>
    <definedName name="solver_val" localSheetId="6" hidden="1">111100</definedName>
    <definedName name="solver_ver" localSheetId="6" hidden="1">3</definedName>
    <definedName name="Tradičná_kalkulácia_rozpočítaním">'Kalkulácie v združenej výrobe'!$A$10</definedName>
    <definedName name="Variabilné_a_fixné_náklady_a_koeficient_elasticity">'Variabilné náklady a bod zvratu'!$A$104</definedName>
    <definedName name="Vnútroorganizačné_účtovníctvo">'Zodpovednostné účtovníctvo'!$A$1</definedName>
    <definedName name="Výber_predbežnej_kalkulácie_nákladov">'Predbežné kalkulácie'!$A$19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C7" i="7"/>
  <c r="A27" i="5"/>
  <c r="J6" i="13" l="1"/>
  <c r="N6" i="13"/>
  <c r="N5" i="13"/>
  <c r="N4" i="13"/>
  <c r="N3" i="13"/>
  <c r="M6" i="13"/>
  <c r="M5" i="13"/>
  <c r="M4" i="13"/>
  <c r="M3" i="13"/>
  <c r="L6" i="13"/>
  <c r="L5" i="13"/>
  <c r="O5" i="13" s="1"/>
  <c r="L4" i="13"/>
  <c r="O4" i="13" s="1"/>
  <c r="L3" i="13"/>
  <c r="J5" i="13"/>
  <c r="J4" i="13"/>
  <c r="B7" i="13"/>
  <c r="O6" i="13" l="1"/>
  <c r="M7" i="13"/>
  <c r="N7" i="13"/>
  <c r="O3" i="13"/>
  <c r="L7" i="13"/>
  <c r="O7" i="13" l="1"/>
  <c r="N10" i="8" l="1"/>
  <c r="B44" i="6"/>
  <c r="E46" i="6"/>
  <c r="C47" i="6"/>
  <c r="B47" i="6"/>
  <c r="B46" i="6"/>
  <c r="E45" i="6"/>
  <c r="C44" i="6"/>
  <c r="C26" i="5"/>
  <c r="B26" i="5"/>
  <c r="A110" i="1" l="1"/>
  <c r="A109" i="1"/>
  <c r="D107" i="1"/>
  <c r="D108" i="1"/>
  <c r="P28" i="7"/>
  <c r="C26" i="7"/>
  <c r="C27" i="7"/>
  <c r="N3" i="8"/>
  <c r="N6" i="8" s="1"/>
  <c r="B15" i="8"/>
  <c r="B17" i="8" s="1"/>
  <c r="M3" i="8"/>
  <c r="A15" i="8" s="1"/>
  <c r="D17" i="8"/>
  <c r="D12" i="8"/>
  <c r="I12" i="8"/>
  <c r="I6" i="8"/>
  <c r="B12" i="8"/>
  <c r="L12" i="8"/>
  <c r="L6" i="8"/>
  <c r="B6" i="8"/>
  <c r="N9" i="8"/>
  <c r="N12" i="8" s="1"/>
  <c r="G5" i="8"/>
  <c r="F5" i="8"/>
  <c r="M9" i="8"/>
  <c r="G10" i="8"/>
  <c r="G9" i="8"/>
  <c r="G4" i="8"/>
  <c r="G3" i="8"/>
  <c r="C3" i="8"/>
  <c r="F9" i="8"/>
  <c r="F3" i="8"/>
  <c r="L24" i="8"/>
  <c r="D4" i="8" s="1"/>
  <c r="L21" i="8"/>
  <c r="D3" i="8" s="1"/>
  <c r="I21" i="7"/>
  <c r="N10" i="7"/>
  <c r="B9" i="7"/>
  <c r="B11" i="7" s="1"/>
  <c r="C8" i="7"/>
  <c r="D8" i="7" s="1"/>
  <c r="E8" i="7" s="1"/>
  <c r="F8" i="7" s="1"/>
  <c r="G8" i="7" s="1"/>
  <c r="H8" i="7" s="1"/>
  <c r="I8" i="7" s="1"/>
  <c r="J8" i="7" s="1"/>
  <c r="K8" i="7" s="1"/>
  <c r="L8" i="7" s="1"/>
  <c r="M8" i="7" s="1"/>
  <c r="D7" i="7"/>
  <c r="E7" i="7" s="1"/>
  <c r="F7" i="7" s="1"/>
  <c r="G7" i="7" s="1"/>
  <c r="H7" i="7" s="1"/>
  <c r="I7" i="7" s="1"/>
  <c r="J7" i="7" s="1"/>
  <c r="K7" i="7" s="1"/>
  <c r="L7" i="7" s="1"/>
  <c r="M7" i="7" s="1"/>
  <c r="B26" i="3"/>
  <c r="B25" i="3"/>
  <c r="B23" i="3"/>
  <c r="B20" i="3"/>
  <c r="C20" i="3" s="1"/>
  <c r="D28" i="3"/>
  <c r="B21" i="3"/>
  <c r="D27" i="3" s="1"/>
  <c r="D7" i="3"/>
  <c r="D11" i="3"/>
  <c r="D10" i="3"/>
  <c r="B10" i="3"/>
  <c r="C9" i="3"/>
  <c r="C26" i="3" s="1"/>
  <c r="C8" i="3"/>
  <c r="C25" i="3" s="1"/>
  <c r="B7" i="3"/>
  <c r="B11" i="3" s="1"/>
  <c r="C6" i="3"/>
  <c r="C7" i="3" s="1"/>
  <c r="B4" i="3"/>
  <c r="C4" i="3" s="1"/>
  <c r="F8" i="6"/>
  <c r="E27" i="6"/>
  <c r="D25" i="6"/>
  <c r="C25" i="6"/>
  <c r="C42" i="6" s="1"/>
  <c r="C45" i="6" s="1"/>
  <c r="B25" i="6"/>
  <c r="D23" i="6"/>
  <c r="C23" i="6"/>
  <c r="B23" i="6"/>
  <c r="C22" i="6"/>
  <c r="C26" i="6" s="1"/>
  <c r="C33" i="6" s="1"/>
  <c r="B22" i="6"/>
  <c r="B26" i="6" s="1"/>
  <c r="B33" i="6" s="1"/>
  <c r="C10" i="3" l="1"/>
  <c r="C11" i="3"/>
  <c r="C13" i="3" s="1"/>
  <c r="C14" i="3" s="1"/>
  <c r="B12" i="3"/>
  <c r="B13" i="3"/>
  <c r="D12" i="3"/>
  <c r="C23" i="3"/>
  <c r="F107" i="1"/>
  <c r="A111" i="1"/>
  <c r="B42" i="6"/>
  <c r="D26" i="6"/>
  <c r="D33" i="6" s="1"/>
  <c r="B24" i="6"/>
  <c r="B30" i="6" s="1"/>
  <c r="F26" i="6"/>
  <c r="C24" i="6"/>
  <c r="C30" i="6" s="1"/>
  <c r="G6" i="8"/>
  <c r="G12" i="8"/>
  <c r="D6" i="8"/>
  <c r="M9" i="7"/>
  <c r="M11" i="7" s="1"/>
  <c r="F9" i="7"/>
  <c r="F11" i="7" s="1"/>
  <c r="J9" i="7"/>
  <c r="J11" i="7" s="1"/>
  <c r="C9" i="7"/>
  <c r="C11" i="7" s="1"/>
  <c r="G9" i="7"/>
  <c r="G11" i="7" s="1"/>
  <c r="K9" i="7"/>
  <c r="K11" i="7" s="1"/>
  <c r="D9" i="7"/>
  <c r="D11" i="7" s="1"/>
  <c r="H9" i="7"/>
  <c r="H11" i="7" s="1"/>
  <c r="H13" i="7" s="1"/>
  <c r="L9" i="7"/>
  <c r="L11" i="7" s="1"/>
  <c r="E9" i="7"/>
  <c r="E11" i="7" s="1"/>
  <c r="I9" i="7"/>
  <c r="I11" i="7" s="1"/>
  <c r="C24" i="3"/>
  <c r="B24" i="3"/>
  <c r="C21" i="3"/>
  <c r="C22" i="3" s="1"/>
  <c r="B27" i="3"/>
  <c r="C5" i="3"/>
  <c r="D24" i="6"/>
  <c r="D30" i="6" s="1"/>
  <c r="F24" i="6"/>
  <c r="E22" i="6"/>
  <c r="F11" i="5"/>
  <c r="G11" i="5" s="1"/>
  <c r="F9" i="5"/>
  <c r="G9" i="5" s="1"/>
  <c r="F8" i="5"/>
  <c r="G8" i="5" s="1"/>
  <c r="D9" i="5"/>
  <c r="C9" i="5"/>
  <c r="C10" i="5" s="1"/>
  <c r="B9" i="5"/>
  <c r="B10" i="5" s="1"/>
  <c r="D8" i="5"/>
  <c r="C8" i="5"/>
  <c r="B8" i="5"/>
  <c r="D11" i="5"/>
  <c r="C11" i="5"/>
  <c r="B11" i="5"/>
  <c r="G23" i="5"/>
  <c r="G29" i="5"/>
  <c r="G26" i="5"/>
  <c r="G25" i="5"/>
  <c r="G24" i="5"/>
  <c r="G22" i="5"/>
  <c r="G19" i="5"/>
  <c r="G18" i="5"/>
  <c r="G17" i="5"/>
  <c r="G14" i="5"/>
  <c r="G13" i="5"/>
  <c r="G12" i="5"/>
  <c r="G7" i="5"/>
  <c r="G6" i="5"/>
  <c r="G5" i="5"/>
  <c r="G4" i="5"/>
  <c r="G3" i="5"/>
  <c r="G1" i="5"/>
  <c r="G2" i="5"/>
  <c r="H93" i="1"/>
  <c r="H92" i="1"/>
  <c r="B94" i="1"/>
  <c r="B84" i="1"/>
  <c r="E5" i="1"/>
  <c r="F18" i="6"/>
  <c r="F17" i="6"/>
  <c r="D14" i="6"/>
  <c r="C14" i="6"/>
  <c r="B14" i="6"/>
  <c r="A14" i="6"/>
  <c r="F15" i="6" s="1"/>
  <c r="D13" i="6"/>
  <c r="C13" i="6"/>
  <c r="B13" i="6"/>
  <c r="D7" i="6"/>
  <c r="C7" i="6"/>
  <c r="B7" i="6"/>
  <c r="D29" i="5"/>
  <c r="C29" i="5"/>
  <c r="B29" i="5"/>
  <c r="A26" i="5"/>
  <c r="E25" i="5"/>
  <c r="D19" i="5"/>
  <c r="C19" i="5"/>
  <c r="B19" i="5"/>
  <c r="E4" i="5"/>
  <c r="B40" i="1"/>
  <c r="C8" i="1"/>
  <c r="B5" i="1"/>
  <c r="B75" i="1"/>
  <c r="C12" i="3" l="1"/>
  <c r="E13" i="7"/>
  <c r="D10" i="5"/>
  <c r="D26" i="5"/>
  <c r="B28" i="3"/>
  <c r="D29" i="3" s="1"/>
  <c r="B30" i="3"/>
  <c r="C28" i="3"/>
  <c r="C30" i="3"/>
  <c r="C31" i="3" s="1"/>
  <c r="C15" i="3"/>
  <c r="B14" i="3"/>
  <c r="B15" i="3" s="1"/>
  <c r="D14" i="3"/>
  <c r="N11" i="7"/>
  <c r="B14" i="7"/>
  <c r="B13" i="7"/>
  <c r="K13" i="7"/>
  <c r="E26" i="6"/>
  <c r="E24" i="6"/>
  <c r="E30" i="6"/>
  <c r="B29" i="3"/>
  <c r="C27" i="3"/>
  <c r="B15" i="6"/>
  <c r="C16" i="5"/>
  <c r="C20" i="5" s="1"/>
  <c r="F16" i="5"/>
  <c r="G16" i="5" s="1"/>
  <c r="F10" i="5"/>
  <c r="G10" i="5" s="1"/>
  <c r="C98" i="1"/>
  <c r="B7" i="1"/>
  <c r="B21" i="1" s="1"/>
  <c r="C25" i="1" s="1"/>
  <c r="C29" i="1"/>
  <c r="E8" i="1"/>
  <c r="C59" i="1"/>
  <c r="C15" i="6"/>
  <c r="D15" i="6"/>
  <c r="E29" i="5"/>
  <c r="E19" i="5"/>
  <c r="B16" i="5"/>
  <c r="B20" i="5" s="1"/>
  <c r="E8" i="5"/>
  <c r="D16" i="5"/>
  <c r="D20" i="5" s="1"/>
  <c r="E9" i="5"/>
  <c r="E10" i="5"/>
  <c r="B97" i="1"/>
  <c r="B98" i="1" s="1"/>
  <c r="C6" i="1"/>
  <c r="B6" i="1"/>
  <c r="E28" i="6" l="1"/>
  <c r="E29" i="6" s="1"/>
  <c r="D15" i="3"/>
  <c r="C29" i="3"/>
  <c r="C32" i="3" s="1"/>
  <c r="B16" i="3"/>
  <c r="D16" i="3"/>
  <c r="B31" i="3"/>
  <c r="D31" i="3"/>
  <c r="B17" i="7"/>
  <c r="B16" i="7"/>
  <c r="B51" i="1"/>
  <c r="C53" i="1" s="1"/>
  <c r="F28" i="6"/>
  <c r="B32" i="3"/>
  <c r="E15" i="6"/>
  <c r="F16" i="6" s="1"/>
  <c r="B30" i="1"/>
  <c r="C32" i="1" s="1"/>
  <c r="C41" i="1"/>
  <c r="B87" i="1"/>
  <c r="B41" i="1"/>
  <c r="C44" i="1" s="1"/>
  <c r="B12" i="1"/>
  <c r="C16" i="1" s="1"/>
  <c r="E7" i="1"/>
  <c r="C23" i="1"/>
  <c r="B71" i="1"/>
  <c r="C21" i="1"/>
  <c r="C30" i="1"/>
  <c r="C71" i="1"/>
  <c r="C60" i="1"/>
  <c r="B60" i="1"/>
  <c r="C51" i="1"/>
  <c r="B25" i="1"/>
  <c r="E20" i="5"/>
  <c r="E26" i="5"/>
  <c r="B23" i="1"/>
  <c r="C24" i="1" s="1"/>
  <c r="F29" i="6" l="1"/>
  <c r="D32" i="3"/>
  <c r="D33" i="3"/>
  <c r="B44" i="1"/>
  <c r="C45" i="1" s="1"/>
  <c r="C12" i="1"/>
  <c r="B53" i="1"/>
  <c r="C54" i="1" s="1"/>
  <c r="D31" i="6"/>
  <c r="D32" i="6" s="1"/>
  <c r="D34" i="6" s="1"/>
  <c r="D35" i="6" s="1"/>
  <c r="C31" i="6"/>
  <c r="C32" i="6" s="1"/>
  <c r="C34" i="6" s="1"/>
  <c r="C35" i="6" s="1"/>
  <c r="B31" i="6"/>
  <c r="F31" i="6"/>
  <c r="B33" i="3"/>
  <c r="E16" i="6"/>
  <c r="B17" i="6" s="1"/>
  <c r="B18" i="6" s="1"/>
  <c r="F20" i="5"/>
  <c r="G20" i="5" s="1"/>
  <c r="E27" i="5"/>
  <c r="F28" i="5" s="1"/>
  <c r="G28" i="5" s="1"/>
  <c r="F27" i="5"/>
  <c r="G27" i="5" s="1"/>
  <c r="B33" i="1"/>
  <c r="C34" i="1" s="1"/>
  <c r="B16" i="1"/>
  <c r="C33" i="1"/>
  <c r="C14" i="1"/>
  <c r="B34" i="1"/>
  <c r="B43" i="1"/>
  <c r="B14" i="1"/>
  <c r="C15" i="1" s="1"/>
  <c r="B32" i="1"/>
  <c r="C62" i="1"/>
  <c r="B62" i="1"/>
  <c r="B85" i="1"/>
  <c r="C72" i="1"/>
  <c r="B95" i="1"/>
  <c r="B76" i="1"/>
  <c r="B72" i="1"/>
  <c r="B24" i="1"/>
  <c r="B26" i="1" s="1"/>
  <c r="C17" i="6" l="1"/>
  <c r="C18" i="6" s="1"/>
  <c r="D17" i="6"/>
  <c r="D18" i="6" s="1"/>
  <c r="D28" i="5"/>
  <c r="B54" i="1"/>
  <c r="B55" i="1" s="1"/>
  <c r="C56" i="1" s="1"/>
  <c r="B45" i="1"/>
  <c r="C35" i="1"/>
  <c r="E31" i="6"/>
  <c r="F32" i="6"/>
  <c r="B32" i="6"/>
  <c r="B28" i="5"/>
  <c r="F30" i="5" s="1"/>
  <c r="G30" i="5" s="1"/>
  <c r="C28" i="5"/>
  <c r="C30" i="5" s="1"/>
  <c r="B15" i="1"/>
  <c r="B17" i="1" s="1"/>
  <c r="B35" i="1"/>
  <c r="C37" i="1" s="1"/>
  <c r="B36" i="1"/>
  <c r="C63" i="1"/>
  <c r="B63" i="1"/>
  <c r="B78" i="1"/>
  <c r="B80" i="1" s="1"/>
  <c r="B77" i="1"/>
  <c r="C78" i="1" s="1"/>
  <c r="B56" i="1"/>
  <c r="E17" i="6" l="1"/>
  <c r="C55" i="1"/>
  <c r="C46" i="1"/>
  <c r="B46" i="1"/>
  <c r="B37" i="1"/>
  <c r="F34" i="6"/>
  <c r="B34" i="6"/>
  <c r="E28" i="5"/>
  <c r="B30" i="5"/>
  <c r="B64" i="1"/>
  <c r="C64" i="1"/>
  <c r="B81" i="1"/>
  <c r="B86" i="1" s="1"/>
  <c r="C81" i="1"/>
  <c r="B47" i="1" l="1"/>
  <c r="C47" i="1"/>
  <c r="B35" i="6"/>
  <c r="F35" i="6"/>
  <c r="E34" i="6"/>
  <c r="B88" i="1"/>
  <c r="C88" i="1"/>
  <c r="B65" i="1"/>
  <c r="B66" i="1"/>
  <c r="C65" i="1"/>
  <c r="B67" i="1" l="1"/>
  <c r="C67" i="1"/>
  <c r="C91" i="1"/>
  <c r="B90" i="1"/>
  <c r="B91" i="1" s="1"/>
  <c r="B96" i="1" s="1"/>
  <c r="C99" i="1" l="1"/>
  <c r="B99" i="1"/>
  <c r="B101" i="1" s="1"/>
  <c r="C102" i="1" l="1"/>
  <c r="B102" i="1"/>
</calcChain>
</file>

<file path=xl/sharedStrings.xml><?xml version="1.0" encoding="utf-8"?>
<sst xmlns="http://schemas.openxmlformats.org/spreadsheetml/2006/main" count="695" uniqueCount="303">
  <si>
    <t>20x5</t>
  </si>
  <si>
    <t>20x4</t>
  </si>
  <si>
    <t>Analýza bodu zvratu: objem výroby a predaja potrebný na dosiahnutie nulového zisku</t>
  </si>
  <si>
    <t>Celkové náklady (€)</t>
  </si>
  <si>
    <t>Objem produkcie (ks)</t>
  </si>
  <si>
    <t>Variabilné náklady na 1 kus (€/ks)</t>
  </si>
  <si>
    <t>Fixné náklady (€)</t>
  </si>
  <si>
    <t>Celkové variabilné náklady (€)</t>
  </si>
  <si>
    <t>Predajná cena výrobkov (€/ks)</t>
  </si>
  <si>
    <t>Bod zvratu</t>
  </si>
  <si>
    <t>Celkové náklady nesmú byť záporné</t>
  </si>
  <si>
    <t>Celkový objem produkcie nesmie byť záporný; objem nákladov musí byť vyšší v tom období, v ktorom je vyšší aj objem produkcie</t>
  </si>
  <si>
    <t>Objem výroby</t>
  </si>
  <si>
    <t>Cieľový zisk (€)</t>
  </si>
  <si>
    <t>Objem výroby (ks)</t>
  </si>
  <si>
    <t>Objem výroby a predaja (ks)</t>
  </si>
  <si>
    <t>Cieľové (maximimálne prípustné) náklady</t>
  </si>
  <si>
    <t>Kalkulácia cieľových nákladov</t>
  </si>
  <si>
    <t>Predajná cena výrobku (€/ks)</t>
  </si>
  <si>
    <t>Zisk na jeden výrobok (€/ks)</t>
  </si>
  <si>
    <t>Cieľová rentabilita tržieb (%)</t>
  </si>
  <si>
    <t xml:space="preserve"> = Tržby pri danom objeme výroby a predaja - Celkové náklady pri danom objeme výroby a predaja {ak je výsledok záporný}</t>
  </si>
  <si>
    <t>Cieľová rentabilita tržieb (% zo zisku)</t>
  </si>
  <si>
    <t>Analýza bodu zvratu: objem výroby a predaja potrebný na dosiahnutie cieľového zisku</t>
  </si>
  <si>
    <t>Analýza bodu zvratu: objem tržieb potrebný na dosiahnutie nulového zisku</t>
  </si>
  <si>
    <t>Analýza bodu zvratu: objem tržieb potrebný na dosiahnutie cieľovej rentability</t>
  </si>
  <si>
    <t xml:space="preserve"> = Tržby pri danom objeme tržieb - Celkové náklady pri danom objeme tržieb {ak je výsledok záporný}</t>
  </si>
  <si>
    <t>Údaje z predchádzajúcich tabuliek</t>
  </si>
  <si>
    <t>Bod zvratu (€)</t>
  </si>
  <si>
    <t>Objem tržieb (ks)</t>
  </si>
  <si>
    <t>Tržby (€)</t>
  </si>
  <si>
    <t>Výsledok hospodárenia (€)</t>
  </si>
  <si>
    <t xml:space="preserve"> = Tržby - Celkové náklady; neberieme do úvahy iné výnosy ani iné náklady</t>
  </si>
  <si>
    <t>Bezpečnostné rozpätie (€)</t>
  </si>
  <si>
    <t>Dosahované tržby (€)</t>
  </si>
  <si>
    <t>Analýza bodu zvratu: citlivosť na pokles tržieb</t>
  </si>
  <si>
    <t>Používame údaje z predchádzajúcej tabuľky</t>
  </si>
  <si>
    <t>Rozsah, v akom môžu tržby poklesnúť, aby sa dosiahol aspoň bod zvratu (%)</t>
  </si>
  <si>
    <t>Analýza bodu zvratu: citlivosť na vzrast fixných nákladov</t>
  </si>
  <si>
    <t>Používame údaje z predchádzajúcích tabuliek</t>
  </si>
  <si>
    <t>Rozsah, v akom môžu fixné náklady vrásť, aby sa dosiahol aspoň bod zvratu (%)</t>
  </si>
  <si>
    <t>Rozsah, v akom môžu fixné náklady vzrásť, aby sa dosiahol aspoň bod zvratu (%)</t>
  </si>
  <si>
    <t xml:space="preserve"> Vypočítaný nárast fixných nákladov (€)</t>
  </si>
  <si>
    <t xml:space="preserve"> Objem výroby a predaja zodpovedajúci požadovaným tržbám (ks)</t>
  </si>
  <si>
    <t xml:space="preserve"> Celkové variabilné náklady pri danom objeme výroby a predaja</t>
  </si>
  <si>
    <t xml:space="preserve"> Celkové náklady pri danom objeme výroby a predaja</t>
  </si>
  <si>
    <t xml:space="preserve"> Zisk pri danom objeme výroby a predaja</t>
  </si>
  <si>
    <t>Celkové variabilné náklady pri danom objeme tržieb</t>
  </si>
  <si>
    <t>Rozsah, v akom môžu tržby poklesnúť, aby sa dosiahol aspoň bod zvratu (€)</t>
  </si>
  <si>
    <t>Variabilné náklady pred nárastom</t>
  </si>
  <si>
    <t>Rozsah, v akom môžu variabilné náklady na jednotku vzrásť, aby sa dosiahol aspoň bod zvratu (%)</t>
  </si>
  <si>
    <t>Variabilné náklady na jednotku (€/ks) pred nárastom</t>
  </si>
  <si>
    <t>Fixné náklady (€) pred nárastom</t>
  </si>
  <si>
    <t>Rozsah, v akom môžu vzrásť variabilné náklady na jednotku, aby sa dosiahol aspoň bod zvratu (%)</t>
  </si>
  <si>
    <t>Výrobok A</t>
  </si>
  <si>
    <t>Výrobok B</t>
  </si>
  <si>
    <t>Výrobok C</t>
  </si>
  <si>
    <t>Hmotnosť výrobku (kg)</t>
  </si>
  <si>
    <t>Hmotnosť spotrebovaného materiálu by mala byť vyššia alebo rovná hmotnosti výrobku</t>
  </si>
  <si>
    <t>Cena materiálu (€/kg)</t>
  </si>
  <si>
    <t>Uvažujeme iba s jediným materiálom</t>
  </si>
  <si>
    <t>SPOLU</t>
  </si>
  <si>
    <t>x</t>
  </si>
  <si>
    <t>Hmotnosť spotrebovaného materiálu na 1 kus výrobku (kg)</t>
  </si>
  <si>
    <t>Rozvrhová základňa</t>
  </si>
  <si>
    <t>Kalkulácia jednoduchým delením</t>
  </si>
  <si>
    <t>Výrobná réžia ktorú je potrebné rozvrhnúť (€)</t>
  </si>
  <si>
    <t>Výrobná réžia pripadajúca na jeden výrobok (€/ks)</t>
  </si>
  <si>
    <t>Celková hmotnosť výrobkov (kg)</t>
  </si>
  <si>
    <t>Celková hmotnosť spotrebovaného materiálu (kg)</t>
  </si>
  <si>
    <t>Priamy materiál spolu (€)</t>
  </si>
  <si>
    <t>Priamy materiál na 1 kus (€/kus)</t>
  </si>
  <si>
    <t>Využívame údaje z predchádzajúcich tabuliek</t>
  </si>
  <si>
    <t>Na začiatok stačí uvádzať údaje za 2 výrobky</t>
  </si>
  <si>
    <t>Výrobná réžia spolu (€)</t>
  </si>
  <si>
    <t>Údaj z predchádzajúcich tabuliek</t>
  </si>
  <si>
    <t>Výrobná réžia pripadajúca na jednotlivé výrobky (€)</t>
  </si>
  <si>
    <t>Združená výroba sa vyznačuje tým, že najprv je spoločná technologická fáza a až za ňou nasledujú náklady na individuálne spracovanie</t>
  </si>
  <si>
    <t>Individuálne spracovanie nasleduje po spoločnej fáze</t>
  </si>
  <si>
    <t>Náklady spoločnej technologickej fázy (€)</t>
  </si>
  <si>
    <t>Náklady individuálneho spracovania 1 kusu výrobku (€/ks)</t>
  </si>
  <si>
    <t>Výrobná réžia pripadajúca na 1 kus výrobku (€/ks)</t>
  </si>
  <si>
    <t>Za predpokladu, že po skončení spoločnej technologickej fázy je výsledkom polotovar, ktorý je možné buď priamo predať, alebo následne spracovať do podoby finálneho výrobku</t>
  </si>
  <si>
    <t>Minimálna predajná cena finálneho výrobku, ak zohľadníme oportunitné náklady</t>
  </si>
  <si>
    <t>Oportunitné náklady sú náklady ušlých príležitostí. Minimálna cena by mala zodpovedať sume ušlej tržby (pretože sa polotovar nepredal a miesto toho sa ďalej realizoval) a nákladom individuálneho spracovania (ktoré by v prípade predaja polotovaru nevznikli)</t>
  </si>
  <si>
    <t>Skutočná predajná cena finálneho výrobku</t>
  </si>
  <si>
    <t>Tradičná kalkulácia rozpočítaním</t>
  </si>
  <si>
    <t>Kľúč na rozpočítanie sa vyberie po nastavení kurzoru na bunku vľavo a to prostredníctvom šípky</t>
  </si>
  <si>
    <t>Predajná cena polotovaru po skončení spoločnej technologickej fázy (€/ks)</t>
  </si>
  <si>
    <t>Náklady spoločnej technologickej fázy pripadajúce na 1 € rozvrhovej základne</t>
  </si>
  <si>
    <t>Rozvrhová základňa (€)</t>
  </si>
  <si>
    <t>Skúška správnosti</t>
  </si>
  <si>
    <t>Náklady spoločnej technologickej fázy pripadajúce na daný výrobok (€)</t>
  </si>
  <si>
    <t>Náklady spoločnej technologickej fázy pripadajúce na 1 kus daného výrobku (€/ks)</t>
  </si>
  <si>
    <t>Tržby pri danom objeme výroby a predaja</t>
  </si>
  <si>
    <t>Celkové variabilné náklady pri danom objeme výroby a predaja</t>
  </si>
  <si>
    <t>Celkové náklady pri danom objeme výroby a predaja</t>
  </si>
  <si>
    <t>Zisk pri danom objeme výroby a predaja</t>
  </si>
  <si>
    <t>Strata pri danom objeme výroby a predaja</t>
  </si>
  <si>
    <t>Cieľová rentabilita tržieb pri danom objeme výroby a predaja</t>
  </si>
  <si>
    <t xml:space="preserve"> =Variabilné náklady na 1 kus x Objem produkcie</t>
  </si>
  <si>
    <t>Strata pri danom objeme tržieb</t>
  </si>
  <si>
    <t>Cieľová rentabilita tržieb pri danom objeme tržieb</t>
  </si>
  <si>
    <t>Zisk pri danom objeme tržieb</t>
  </si>
  <si>
    <t>Objem výroby a predaja zodpovedajúci objemu tržieb</t>
  </si>
  <si>
    <t>Celkové náklady pri danom objeme tržieb</t>
  </si>
  <si>
    <t>Objem výroby a predaja zodpovedajúci požadovaným tržbám (ks)</t>
  </si>
  <si>
    <t>Tržby zodpovedajúce bodu zvratu (€)</t>
  </si>
  <si>
    <t>Udaj z predchádzajúcej tabuľky</t>
  </si>
  <si>
    <t>Objem požadovaných tržieb (€)</t>
  </si>
  <si>
    <t>Je potrebné zadať</t>
  </si>
  <si>
    <t>Vypočítaný nárast celkových variabilných nákladov (€)</t>
  </si>
  <si>
    <t>Je potrebné zadať; ide o tržby ktoré majú byť alebo sú reálne dosahované z výroby a predaja</t>
  </si>
  <si>
    <t>Používame údaje z tabuľky Analýza bodu zvratu: bezpečnostné rozpätie (€)</t>
  </si>
  <si>
    <t>d</t>
  </si>
  <si>
    <t>Rozvrhová základňa predstavuje kľúč pre rozdelenie (rozvrhnutie) nepriamych nákladov. V našom prípade nepriamych nákladov súvisiacich s výrobou (teda výrobnej réžie). Rozvrhovú základňu je možné zvoliť po nastavení kurzoru na bunku vľav, na výber je celková homotnosť spotrebovaného materiálu, celková hmotnosť výrobkov a priamy materiál spolu</t>
  </si>
  <si>
    <t>Skutočná predajná cena finálneho výrobku (€/ks)</t>
  </si>
  <si>
    <t>Tržby z predaja finálneho výrobku (€)</t>
  </si>
  <si>
    <t>Obchodná marža (€)</t>
  </si>
  <si>
    <t>Percento obchodnej marže (%)</t>
  </si>
  <si>
    <t>Zopakujeme tržby zo začiatku tejto tabuľky, začíname odpočítavať zisk a tržby</t>
  </si>
  <si>
    <t>Časť z tržieb pripadajúca na náklady (ktoré sú tvorené nákladmi technologickej fázy a nákladmi individuálneho spracovania)</t>
  </si>
  <si>
    <t>Náklady individuálneho spracovania spolu (€)</t>
  </si>
  <si>
    <t>Zopakované údaje zo začiatku tejto tabuľky</t>
  </si>
  <si>
    <t>Objem predaja (ks)</t>
  </si>
  <si>
    <t>Variant 1</t>
  </si>
  <si>
    <t>Variant 2</t>
  </si>
  <si>
    <t>Nepriame náklady majú spravidla fixný charakter, predpokladáme teda, že pri oboch variantoch budú rovnaké</t>
  </si>
  <si>
    <t>Vyrobené ale nepredané výrobky (ks)</t>
  </si>
  <si>
    <t>Priame náklady na 1 kus výrobku (€/ks)</t>
  </si>
  <si>
    <t>Priame náklady na vyrobené výrobky spolu (€)</t>
  </si>
  <si>
    <t>Nepriame náklady na výrobu (výrobná réžia) (€)</t>
  </si>
  <si>
    <t>Predajná cena (€/ks)</t>
  </si>
  <si>
    <t>Náklady spolu (€)</t>
  </si>
  <si>
    <t>Zisk/strata pred zohľadnením zmeny stavu zásob vlastnej výroby (€)</t>
  </si>
  <si>
    <t>Ocenenie všetkych zásob je na úrovni nákladov spolu (teda priamych aj nepriamych nákladov)</t>
  </si>
  <si>
    <t xml:space="preserve">Zmena stavu zásob (účtovaná ako úbytok výnosov) zodpovedajúca predaným zásobám </t>
  </si>
  <si>
    <t>Objem predaja by mal byť nižší než je objem výroby; neuvažujeme s existenciou nepredaných zásob na začiatku obdoba</t>
  </si>
  <si>
    <t xml:space="preserve">Zmena stavu zásob (účtovaná ako prírastok výnosov) zodpovedajúca všetkým vyrobeným  zásobám </t>
  </si>
  <si>
    <t>Zisk/strata po zohľadnení zmeny stavu zásob vlastnej výroby (€)</t>
  </si>
  <si>
    <t>Zvýšenie zisku / zníženie straty po prijatí variantu 2 v porovnaní s variantom 1</t>
  </si>
  <si>
    <t>Údaje z predchádzajúcej tabuľky</t>
  </si>
  <si>
    <t>Údaje z predchádzajúcej tabuľky; výrobná réžia nie je zahrnutá do ocenenia</t>
  </si>
  <si>
    <t>Ocenenie všetkych zásob je iba na úrovni priamych nákladov na vyrobené výrobky spolu</t>
  </si>
  <si>
    <t>Mesiac</t>
  </si>
  <si>
    <t>Plánovaná cena materiálu (€/kg)</t>
  </si>
  <si>
    <t>Plánovaná spotreba materiálu na 1 kus výrobku (kg/ks)</t>
  </si>
  <si>
    <t>Predpokladá sa, že nová technológia bude zavedená v:</t>
  </si>
  <si>
    <t>februári</t>
  </si>
  <si>
    <t>marci</t>
  </si>
  <si>
    <t>apríli</t>
  </si>
  <si>
    <t>máji</t>
  </si>
  <si>
    <t>júni</t>
  </si>
  <si>
    <t>júli</t>
  </si>
  <si>
    <t>auguste</t>
  </si>
  <si>
    <t>septembri</t>
  </si>
  <si>
    <t>októbri</t>
  </si>
  <si>
    <t>novembri</t>
  </si>
  <si>
    <t>decembri</t>
  </si>
  <si>
    <t>Zavedením novej technológie sa ušetri:</t>
  </si>
  <si>
    <t>% spotreby materiálu</t>
  </si>
  <si>
    <t>V zadaní je možné uviesť úsporu od 5 % do 30 %</t>
  </si>
  <si>
    <t>Medzimesačný priemerný nárast ceny materiálu</t>
  </si>
  <si>
    <t>%</t>
  </si>
  <si>
    <t>V zadaní je možné uviesť nárast od 0,1 % do 0,5%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</si>
  <si>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</si>
  <si>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</si>
  <si>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</si>
  <si>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</si>
  <si>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</si>
  <si>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</si>
  <si>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</si>
  <si>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</si>
  <si>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</si>
  <si>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</si>
  <si>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</si>
  <si>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</si>
  <si>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Priamy materiál pripadajúci na 1 kus výrobku (€/ks)</t>
  </si>
  <si>
    <t>Plánovaný objem výroby (ks)</t>
  </si>
  <si>
    <t>1. štvrťrok</t>
  </si>
  <si>
    <t>4. štvrťrok</t>
  </si>
  <si>
    <t>3. štvrťrok</t>
  </si>
  <si>
    <t>2. štvrťrok</t>
  </si>
  <si>
    <t>Priamy materiál na celú produkciu (€)</t>
  </si>
  <si>
    <t>Priamy materiál podľa plánovej kalkulácie na príslušný štvrťrok (€/kus)</t>
  </si>
  <si>
    <t>Priamy materiál podľa plánovej kalkulácie na príslušný rok (€/kus)</t>
  </si>
  <si>
    <t>Rok</t>
  </si>
  <si>
    <t>Situácia</t>
  </si>
  <si>
    <t>Ide o nový alebo inovovaný výrobok, ku ktorému neexistujú presné normy</t>
  </si>
  <si>
    <t>Ide o nový alebo inovovaný výrobok, ku ktorému existujú presné normy a očakáva sa ich výrazná zmena počas daného obdobia</t>
  </si>
  <si>
    <t>Ide o nový alebo inovovaný výrobok, ku ktorému existujú presné normy ale neočakáva sa ich výrazná zmena počas daného obdobia</t>
  </si>
  <si>
    <t>Druh predbežnej kalkulácie nákladov</t>
  </si>
  <si>
    <t>Výber predbežnej kalkulácie nákladov</t>
  </si>
  <si>
    <t>Náklady strediska výroby (801)</t>
  </si>
  <si>
    <t>Náklady strediska údržby (802)</t>
  </si>
  <si>
    <t>1a)</t>
  </si>
  <si>
    <t>Spotreba materiálu v stredisku  výroby</t>
  </si>
  <si>
    <t>€</t>
  </si>
  <si>
    <t>Spotreba materiálu v stredisku  údržby</t>
  </si>
  <si>
    <t>1b)</t>
  </si>
  <si>
    <t>1c)</t>
  </si>
  <si>
    <t>Spotreba materiálu spolu</t>
  </si>
  <si>
    <t>Mzdové náklady v stredisku  výroby</t>
  </si>
  <si>
    <t>Mzdové náklady v stredisku  údržby</t>
  </si>
  <si>
    <t>Mzdové náklady spolu</t>
  </si>
  <si>
    <t>2a)</t>
  </si>
  <si>
    <t>2b)</t>
  </si>
  <si>
    <t>2c)</t>
  </si>
  <si>
    <t>2e)</t>
  </si>
  <si>
    <t>Výnosy strediska výroby (901)</t>
  </si>
  <si>
    <t>Výnosy strediska údržby (902)</t>
  </si>
  <si>
    <t>Spojovací účet ku zmene stavu výrobkov (991)</t>
  </si>
  <si>
    <t>3)</t>
  </si>
  <si>
    <t>OMD</t>
  </si>
  <si>
    <t>OD</t>
  </si>
  <si>
    <t>4)</t>
  </si>
  <si>
    <t>5)</t>
  </si>
  <si>
    <t>Kalkulácia odpočítaním</t>
  </si>
  <si>
    <t>Hlavný výrobok</t>
  </si>
  <si>
    <t>Vedľajší výrobok</t>
  </si>
  <si>
    <t>Predajná cena výkonu (€/kus)</t>
  </si>
  <si>
    <t>Tržby z predaja výkonu (€)</t>
  </si>
  <si>
    <t>Kalkulácia cieľových nákladov patrí medzi predbežné kalkulácie (a v rámci nich medzi prepočtové kalkulácie) a využíva sa v strategickom manažérskom účtovníctve</t>
  </si>
  <si>
    <t>Meziročná zmena</t>
  </si>
  <si>
    <t>Obdobie</t>
  </si>
  <si>
    <t>c
c</t>
  </si>
  <si>
    <t>c
c
c
c</t>
  </si>
  <si>
    <t>Náklady (N)</t>
  </si>
  <si>
    <t>Objem produkcie (Q)</t>
  </si>
  <si>
    <t>c
c
c</t>
  </si>
  <si>
    <t>Koeficient elasticity (KE)
a charakter nákladov</t>
  </si>
  <si>
    <t>Kalkulácia podľa čiastkových činností (Activity Based Costing, ABC)</t>
  </si>
  <si>
    <t>Činnosť</t>
  </si>
  <si>
    <t>Deštruktívne testy výrobkov</t>
  </si>
  <si>
    <t>Administratívne preberanie výrobkov</t>
  </si>
  <si>
    <t>Administratívne odovzdávanie výrobkov</t>
  </si>
  <si>
    <t>Výsledná správa</t>
  </si>
  <si>
    <t>Dôvod vzniku nákladov</t>
  </si>
  <si>
    <t>Analýza a hodnotenie testov</t>
  </si>
  <si>
    <t>čas zamestnancov</t>
  </si>
  <si>
    <t>Náklady na danú činnosť sa rozvrhnú podľa ktorým je</t>
  </si>
  <si>
    <t>Počtu výstupných kontrol</t>
  </si>
  <si>
    <t>Počtu testovaných výrobkov (ak sa testujú postupne, na jednom zariadení)</t>
  </si>
  <si>
    <t>čas zamestnancov a hodnota výrobkov, energie a odpisy zariadenia</t>
  </si>
  <si>
    <t>Počtu výstupných kontrol resp. počtu testovaných výrobkov (v závislosti od druhu testovania)</t>
  </si>
  <si>
    <r>
      <t xml:space="preserve">Náklady na výstupnú kontrolu </t>
    </r>
    <r>
      <rPr>
        <sz val="12"/>
        <color theme="1"/>
        <rFont val="Arial"/>
        <family val="2"/>
        <charset val="238"/>
      </rPr>
      <t xml:space="preserve">by sa v rámci tradičnej prirážkovej kalkulácie spočítali a následne rozvrhli naprílad podľa </t>
    </r>
    <r>
      <rPr>
        <b/>
        <sz val="12"/>
        <color theme="1"/>
        <rFont val="Arial"/>
        <family val="2"/>
        <charset val="238"/>
      </rPr>
      <t>objemu priamych nákladov</t>
    </r>
    <r>
      <rPr>
        <sz val="12"/>
        <color theme="1"/>
        <rFont val="Arial"/>
        <family val="2"/>
        <charset val="238"/>
      </rPr>
      <t xml:space="preserve"> či iba </t>
    </r>
    <r>
      <rPr>
        <b/>
        <sz val="12"/>
        <color theme="1"/>
        <rFont val="Arial"/>
        <family val="2"/>
        <charset val="238"/>
      </rPr>
      <t xml:space="preserve">priamych miezd </t>
    </r>
    <r>
      <rPr>
        <sz val="12"/>
        <color theme="1"/>
        <rFont val="Arial"/>
        <family val="2"/>
        <charset val="238"/>
      </rPr>
      <t xml:space="preserve">- nie pre to, že by to bolo logické, ale preto, že je to jednoduché. Kalkulácia nákladov podľa čiastkových činností je tiež prirážkovou kalkuláciou, ale najprv sa náklady priradia jednotlivým činnostiam a potom sa rozdelia na podľa tzv. </t>
    </r>
    <r>
      <rPr>
        <b/>
        <sz val="12"/>
        <color theme="1"/>
        <rFont val="Arial"/>
        <family val="2"/>
        <charset val="238"/>
      </rPr>
      <t>nákladových determinantov</t>
    </r>
    <r>
      <rPr>
        <sz val="12"/>
        <color theme="1"/>
        <rFont val="Arial"/>
        <family val="2"/>
        <charset val="238"/>
      </rPr>
      <t xml:space="preserve"> ktoré najlepšie vyjadrujú rozsah činnosti. Nákladové determinanty sa môžu určiť na základe odporúčania zamestnancov, regresnej a korelačnej analýzy a podobne</t>
    </r>
  </si>
  <si>
    <t>c</t>
  </si>
  <si>
    <t>c
c
c
c
c</t>
  </si>
  <si>
    <t>Variabilné a fixné náklady a koeficient elasticity</t>
  </si>
  <si>
    <t>Strana 2: Rozdeľovanie fixných a variabilných nákladov</t>
  </si>
  <si>
    <t>Strana 6: Analýza bodu zvratu: citlivosť na vzrast variabilných nákladov na jednotku</t>
  </si>
  <si>
    <t>Strana 5: Analýza bodu zvratu: bezpečnostné rozpätie</t>
  </si>
  <si>
    <t xml:space="preserve"> Strana 4: Analýza bodu zvratu: objem tržieb potrebný na dosiahnutie cieľového zisku</t>
  </si>
  <si>
    <t>Strana 3: Analýza bodu zvratu: objem výroby a predaja potrebný na dosiahnutie cieľovej rentability</t>
  </si>
  <si>
    <t>Strana 8: Prirážková kalkulácia</t>
  </si>
  <si>
    <t>Strana 9: Zadanie kalkulácií rozpočítaním</t>
  </si>
  <si>
    <t>Strana 10: Rozpočítanie s využitím percenta obchodnej marže</t>
  </si>
  <si>
    <r>
      <t xml:space="preserve">Strana 11: Kalkulácia úplných nákladov
</t>
    </r>
    <r>
      <rPr>
        <sz val="12"/>
        <color theme="1"/>
        <rFont val="Arial"/>
        <family val="2"/>
        <charset val="238"/>
      </rPr>
      <t>(vlastné náklady zahŕňajú aj výrobnú réžiu)</t>
    </r>
  </si>
  <si>
    <r>
      <t xml:space="preserve">Strana 12: Kalkulácia neúplných nákladov
</t>
    </r>
    <r>
      <rPr>
        <sz val="12"/>
        <color theme="1"/>
        <rFont val="Arial"/>
        <family val="2"/>
        <charset val="238"/>
      </rPr>
      <t>(vlastné náklady zahŕňajú iba priame náklady)</t>
    </r>
  </si>
  <si>
    <t>Strana 13: Plánová kalkulácia</t>
  </si>
  <si>
    <t>Strana 14: Vnútroorganizačné účtovníctvo</t>
  </si>
  <si>
    <t>Okrem tejto metódy (metóda dvoch bodov) sa pre rozlišovanie fixnej a variabilnej zložky nákladov používa aj regresná a korelačná analýza, grafická metóda a menej často metóda analýzy účtov, metóda útlmu aktivít a metóda technických prepočtov</t>
  </si>
  <si>
    <t>Strana 7: Zadanie pre kalkulácie v nezdruženej výrobe</t>
  </si>
  <si>
    <t>Individuálne náklady na dokončenie a predaj výkonu (€/kus) po dokončení spoločnej fázy</t>
  </si>
  <si>
    <t>Individuálne náklady na dokončenie a spracovanie spolu (€)</t>
  </si>
  <si>
    <t>Náklady spoločnej technologickej fázy pripadajúce na hlavný výrobok, stanovené odpočítaním (€)</t>
  </si>
  <si>
    <t>Náklady pripadajúce na 1 kus výrobku</t>
  </si>
  <si>
    <t>Náklady spoločnej technologickej fázy, týkajúcej sa výroby hlavného aj vedľajšieho výrobku (€)</t>
  </si>
  <si>
    <t>Odhadované náklady spoločnej fázy pripadajúce na vedľajší výrobok, stanovené vo výške čistej realizančnej hodnoty vedľajšieho výrobku (€)</t>
  </si>
  <si>
    <t>Poznámka: Rozdiely vznikajú vtedy, ak časť zásob ktoré sa v danom období vyrobia zostane na konci roku ešte stále na sklade. Ak sa predajú či spotrebujú všetky zásoby, rozdiely nevznikajú</t>
  </si>
  <si>
    <r>
      <t xml:space="preserve">Hlavný výrobok sa líši od vedľajšieho tým, že tržby z predaja prvého sú </t>
    </r>
    <r>
      <rPr>
        <b/>
        <i/>
        <sz val="12"/>
        <color theme="1"/>
        <rFont val="Arial"/>
        <family val="2"/>
        <charset val="238"/>
      </rPr>
      <t xml:space="preserve">výrazne </t>
    </r>
    <r>
      <rPr>
        <i/>
        <sz val="12"/>
        <color theme="1"/>
        <rFont val="Arial"/>
        <family val="2"/>
        <charset val="238"/>
      </rPr>
      <t>vyššie ako druhého</t>
    </r>
  </si>
  <si>
    <t>c
c
c
c
c
c
c</t>
  </si>
  <si>
    <t>PS1</t>
  </si>
  <si>
    <t>PS2</t>
  </si>
  <si>
    <t>PS3</t>
  </si>
  <si>
    <t>PS4</t>
  </si>
  <si>
    <t>Medzivýpočet</t>
  </si>
  <si>
    <t>VS</t>
  </si>
  <si>
    <t>StS</t>
  </si>
  <si>
    <t>SO</t>
  </si>
  <si>
    <t>Podiel na využívaní služieb pomocných stredísk PS1 až PS4 v iných strediskách</t>
  </si>
  <si>
    <t>Náklady pridelené strediskám (€)</t>
  </si>
  <si>
    <t>Náklady vzniknuté
v pomocných strediskách (€)</t>
  </si>
  <si>
    <t>Spojovací účet ku mzdovým nákladom (892)</t>
  </si>
  <si>
    <t>Spojovací účet k materiálovým nákladom (891)</t>
  </si>
  <si>
    <t>Náklady individuálneho spracovania 1 kusu výrobku (€ / ks)</t>
  </si>
  <si>
    <t>Predajná cena polotovaru po skončení spoločnej technologickej fázy (€ / ks)</t>
  </si>
  <si>
    <r>
      <t xml:space="preserve">Podľa § 6, ods. 3 Postupov účtovania: </t>
    </r>
    <r>
      <rPr>
        <i/>
        <sz val="10"/>
        <color rgb="FFFF0000"/>
        <rFont val="Arial"/>
        <family val="2"/>
        <charset val="238"/>
      </rPr>
      <t xml:space="preserve">"Spojovacie účty preukazujúce nadväznosť medzi finančným účtovníctvom a vnútroorganizačným účtovníctvom pri jeho organizácii v samostatnom účtovnom okruhu sa vytvárajú v rámci účtových tried 8 a 9 alebo ich funkciu nahrádza technické spracovanie dát." </t>
    </r>
    <r>
      <rPr>
        <sz val="10"/>
        <color rgb="FFFF0000"/>
        <rFont val="Arial"/>
        <family val="2"/>
        <charset val="238"/>
      </rPr>
      <t>V našom prípade sme si zvolili účty 891, 892 a 991, pričom to čo je vidno na obratoch na týchto účtoch by malo byť vidno aj vo finančnom účtovníctve, na účtoch 501, 521 resp. 613</t>
    </r>
  </si>
  <si>
    <r>
      <t xml:space="preserve">Náklady ktoré vznikli v stredisku údržby pri oprave zariadení poškodených v stredisko výroby; ocenenie </t>
    </r>
    <r>
      <rPr>
        <sz val="10"/>
        <color rgb="FFFF0000"/>
        <rFont val="Arial"/>
        <family val="2"/>
        <charset val="238"/>
      </rPr>
      <t>spotrebovaného materiálu</t>
    </r>
    <r>
      <rPr>
        <sz val="10"/>
        <color theme="1"/>
        <rFont val="Arial"/>
        <family val="2"/>
        <charset val="238"/>
      </rPr>
      <t xml:space="preserve"> v plánovaných cenách</t>
    </r>
  </si>
  <si>
    <r>
      <t xml:space="preserve">Odovzdanie dokončených výrobkov v stredisku výroby na sklad; ocenenie </t>
    </r>
    <r>
      <rPr>
        <b/>
        <sz val="10"/>
        <color theme="1"/>
        <rFont val="Arial"/>
        <family val="2"/>
        <charset val="238"/>
      </rPr>
      <t>vnútropodnikovou cenou zahŕňajúcou okrem plánovaných nákladov aj zisk</t>
    </r>
  </si>
  <si>
    <r>
      <t xml:space="preserve">Ocenenie výkonov strediska údržby vnútropodnikovou cenou vo výške </t>
    </r>
    <r>
      <rPr>
        <b/>
        <sz val="10"/>
        <color theme="1"/>
        <rFont val="Arial"/>
        <family val="2"/>
        <charset val="238"/>
      </rPr>
      <t>pevného rozpočtu</t>
    </r>
  </si>
  <si>
    <r>
      <t xml:space="preserve">Podľa § 6, ods. 1 Postupov účtovania: </t>
    </r>
    <r>
      <rPr>
        <i/>
        <sz val="10"/>
        <color rgb="FFFF0000"/>
        <rFont val="Arial"/>
        <family val="2"/>
        <charset val="238"/>
      </rPr>
      <t xml:space="preserve">"Vnútroorganizačné účtovníctvo možno organizovať a) v rámci analytických účtov k finančnému účtovníctvu, pričom sa využijú účty vnútroorganizačné náklady a vnútroorganizačné výnosy, ktoré sa zaradia do účtových skupín 59 a 69, b) v samostatnom účtovnom okruhu, pre ktorý sa vytvoria účty v rámci voľných účtových tried 8 a 9 a ich obsahová náplň, c) kombináciou postupov podľa písmen a) a b)."
</t>
    </r>
    <r>
      <rPr>
        <sz val="10"/>
        <color rgb="FFFF0000"/>
        <rFont val="Arial"/>
        <family val="2"/>
        <charset val="238"/>
      </rPr>
      <t>Poznámka:</t>
    </r>
    <r>
      <rPr>
        <i/>
        <sz val="10"/>
        <color rgb="FFFF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Účty </t>
    </r>
    <r>
      <rPr>
        <i/>
        <sz val="10"/>
        <color rgb="FFFF0000"/>
        <rFont val="Arial"/>
        <family val="2"/>
        <charset val="238"/>
      </rPr>
      <t>vnútroorganizačné náklady</t>
    </r>
    <r>
      <rPr>
        <sz val="10"/>
        <color rgb="FFFF0000"/>
        <rFont val="Arial"/>
        <family val="2"/>
        <charset val="238"/>
      </rPr>
      <t xml:space="preserve"> a </t>
    </r>
    <r>
      <rPr>
        <i/>
        <sz val="10"/>
        <color rgb="FFFF0000"/>
        <rFont val="Arial"/>
        <family val="2"/>
        <charset val="238"/>
      </rPr>
      <t>vnútroorganizačné výnosy</t>
    </r>
    <r>
      <rPr>
        <sz val="10"/>
        <color rgb="FFFF0000"/>
        <rFont val="Arial"/>
        <family val="2"/>
        <charset val="238"/>
      </rPr>
      <t xml:space="preserve"> sa dajú využiť napríklad pre kalkulačné náklady - čiže tie náklady, ktoré sa nemôžu zobraziť podľa platných pravidiel na iných účtoch účt. triedy 5, avšak sú dôležité riadenie a oceňovanie (napr. kalkulačné odpisy).</t>
    </r>
  </si>
  <si>
    <r>
      <t xml:space="preserve">Podľa par. 22, ods. 5 Postupov účtovania: </t>
    </r>
    <r>
      <rPr>
        <i/>
        <sz val="10"/>
        <color rgb="FFFF0000"/>
        <rFont val="Arial"/>
        <family val="2"/>
        <charset val="238"/>
      </rPr>
      <t xml:space="preserve">"Vlastné náklady pri zásobách vytvorených vlastnou činnosťou sa ocenia buď vo svojej </t>
    </r>
    <r>
      <rPr>
        <b/>
        <i/>
        <sz val="10"/>
        <color rgb="FFFF0000"/>
        <rFont val="Arial"/>
        <family val="2"/>
        <charset val="238"/>
      </rPr>
      <t>skutočnej výške</t>
    </r>
    <r>
      <rPr>
        <i/>
        <sz val="10"/>
        <color rgb="FFFF0000"/>
        <rFont val="Arial"/>
        <family val="2"/>
        <charset val="238"/>
      </rPr>
      <t xml:space="preserve">, </t>
    </r>
    <r>
      <rPr>
        <b/>
        <i/>
        <sz val="10"/>
        <color rgb="FFFF0000"/>
        <rFont val="Arial"/>
        <family val="2"/>
        <charset val="238"/>
      </rPr>
      <t>alebo</t>
    </r>
    <r>
      <rPr>
        <i/>
        <sz val="10"/>
        <color rgb="FFFF0000"/>
        <rFont val="Arial"/>
        <family val="2"/>
        <charset val="238"/>
      </rPr>
      <t xml:space="preserve"> vo výške vlastných nákladov podľa </t>
    </r>
    <r>
      <rPr>
        <b/>
        <i/>
        <sz val="10"/>
        <color rgb="FFFF0000"/>
        <rFont val="Arial"/>
        <family val="2"/>
        <charset val="238"/>
      </rPr>
      <t>operatívnych (plánových) kalkulácií</t>
    </r>
    <r>
      <rPr>
        <i/>
        <sz val="10"/>
        <color rgb="FFFF0000"/>
        <rFont val="Arial"/>
        <family val="2"/>
        <charset val="238"/>
      </rPr>
      <t>. Takto určené náklady sú náklady určené v konkrétnych technických, technologických, ekonomických a organizačných podmienkach určených technickou prípravou výroby na uskutočňovanie výkonov a preto sú takmer zhodné so skutočnými vlastnými nákladmi."</t>
    </r>
  </si>
  <si>
    <t xml:space="preserve"> - skutočné náklady z externého prostredia</t>
  </si>
  <si>
    <t xml:space="preserve"> - výkony z interného prostredia oceňované vopred stanovenou cenou</t>
  </si>
  <si>
    <t xml:space="preserve"> - výrobky oceňované vopred stanovenou cenou</t>
  </si>
  <si>
    <t xml:space="preserve"> - výrobky oceňované skutočnou cenou</t>
  </si>
  <si>
    <t xml:space="preserve"> - nedokončená výroba oceňovaná vopred stanovenou cenou </t>
  </si>
  <si>
    <t>ako ale rozdeliť náklady medzi výrobky a nedokončenú výrobu? buď by sa stanovila jednotná cena nedokončenej výroby, alebo by bol známy stupeň rozpracovanosti</t>
  </si>
  <si>
    <t xml:space="preserve"> - výrobky oceňovaná ako rozdiel skutočných nákladov a nedokončenej výroby</t>
  </si>
  <si>
    <t xml:space="preserve"> - nedokončená výroba oceňovaná ako rozdiel skutočných nákladov a výrobkov</t>
  </si>
  <si>
    <t>nie je problém so stupňom rozpracovanosti</t>
  </si>
  <si>
    <t>stupeň rozpracovanosti je známy, alebo by sa stanovila jednotnou cenou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</si>
</sst>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\ 0%;\-\ 0%;0%"/>
    <numFmt numFmtId="165" formatCode="0.0%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color theme="1"/>
      <name val="Ariel"/>
      <charset val="238"/>
    </font>
    <font>
      <b/>
      <i/>
      <sz val="12"/>
      <color theme="1"/>
      <name val="Arial"/>
      <family val="2"/>
      <charset val="238"/>
    </font>
    <font>
      <b/>
      <sz val="12"/>
      <color theme="1"/>
      <name val="Ariel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3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10" fontId="3" fillId="0" borderId="1" xfId="1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0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1" applyNumberFormat="1" applyFont="1" applyFill="1" applyBorder="1" applyAlignment="1">
      <alignment horizontal="righ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vertical="center" wrapText="1"/>
    </xf>
    <xf numFmtId="4" fontId="2" fillId="0" borderId="0" xfId="0" applyNumberFormat="1" applyFont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0" fontId="3" fillId="0" borderId="1" xfId="1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Alignment="1" applyProtection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10" fontId="3" fillId="2" borderId="1" xfId="1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4" fontId="13" fillId="3" borderId="11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vertical="center" wrapText="1"/>
    </xf>
    <xf numFmtId="4" fontId="12" fillId="0" borderId="12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13" fillId="3" borderId="0" xfId="0" applyNumberFormat="1" applyFont="1" applyFill="1" applyAlignment="1">
      <alignment vertical="center" wrapText="1"/>
    </xf>
    <xf numFmtId="4" fontId="13" fillId="3" borderId="12" xfId="0" applyNumberFormat="1" applyFont="1" applyFill="1" applyBorder="1" applyAlignment="1">
      <alignment vertical="center" wrapText="1"/>
    </xf>
    <xf numFmtId="4" fontId="14" fillId="0" borderId="0" xfId="0" applyNumberFormat="1" applyFont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9" fontId="12" fillId="0" borderId="0" xfId="0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99"/>
      <color rgb="FF666699"/>
      <color rgb="FF6600FF"/>
      <color rgb="FF66FF00"/>
      <color rgb="FF0000FF"/>
      <color rgb="FF00FF00"/>
      <color rgb="FFFF0000"/>
      <color rgb="FFB9CB34"/>
      <color rgb="FFB935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47</xdr:row>
      <xdr:rowOff>152400</xdr:rowOff>
    </xdr:from>
    <xdr:to>
      <xdr:col>2</xdr:col>
      <xdr:colOff>352425</xdr:colOff>
      <xdr:row>60</xdr:row>
      <xdr:rowOff>9525</xdr:rowOff>
    </xdr:to>
    <xdr:pic>
      <xdr:nvPicPr>
        <xdr:cNvPr id="2" name="obrázek 646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0459700"/>
          <a:ext cx="4343400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P113"/>
  <sheetViews>
    <sheetView zoomScale="130" zoomScaleNormal="130" zoomScaleSheetLayoutView="140" workbookViewId="0">
      <pane ySplit="8" topLeftCell="A9" activePane="bottomLeft" state="frozen"/>
      <selection pane="bottomLeft" activeCell="A9" sqref="A9:F9"/>
    </sheetView>
  </sheetViews>
  <sheetFormatPr defaultRowHeight="15" outlineLevelRow="1"/>
  <cols>
    <col min="1" max="1" width="48.85546875" style="1" customWidth="1"/>
    <col min="2" max="2" width="15" style="1" customWidth="1"/>
    <col min="3" max="3" width="15.140625" style="1" customWidth="1"/>
    <col min="4" max="4" width="4.140625" style="1" customWidth="1"/>
    <col min="5" max="5" width="29.140625" style="1" customWidth="1"/>
    <col min="6" max="6" width="41.85546875" style="1" customWidth="1"/>
    <col min="7" max="7" width="2.7109375" style="1" customWidth="1"/>
    <col min="8" max="8" width="3.7109375" style="1" hidden="1" customWidth="1"/>
    <col min="9" max="9" width="20" style="1" customWidth="1"/>
    <col min="10" max="16384" width="9.140625" style="1"/>
  </cols>
  <sheetData>
    <row r="1" spans="1:16" ht="15.75">
      <c r="A1" s="96" t="s">
        <v>249</v>
      </c>
      <c r="B1" s="96"/>
      <c r="C1" s="96"/>
      <c r="D1" s="96"/>
      <c r="E1" s="96"/>
      <c r="F1" s="96"/>
      <c r="G1" s="54"/>
      <c r="H1" s="42" t="s">
        <v>246</v>
      </c>
      <c r="I1" s="42"/>
      <c r="J1" s="42"/>
      <c r="K1" s="42"/>
      <c r="L1" s="42"/>
      <c r="M1" s="42"/>
      <c r="N1" s="42"/>
      <c r="O1" s="42"/>
      <c r="P1" s="42"/>
    </row>
    <row r="2" spans="1:16" ht="15.75" outlineLevel="1">
      <c r="A2" s="32"/>
      <c r="B2" s="32" t="s">
        <v>0</v>
      </c>
      <c r="C2" s="32" t="s">
        <v>1</v>
      </c>
      <c r="D2" s="42"/>
      <c r="E2" s="102"/>
      <c r="F2" s="102"/>
      <c r="G2" s="42"/>
      <c r="H2" s="42" t="s">
        <v>246</v>
      </c>
      <c r="I2" s="42"/>
      <c r="J2" s="42"/>
      <c r="K2" s="42"/>
      <c r="L2" s="42"/>
      <c r="M2" s="42"/>
      <c r="N2" s="42"/>
      <c r="O2" s="42"/>
      <c r="P2" s="42"/>
    </row>
    <row r="3" spans="1:16" ht="15.75" outlineLevel="1">
      <c r="A3" s="32" t="s">
        <v>3</v>
      </c>
      <c r="B3" s="31">
        <v>45000</v>
      </c>
      <c r="C3" s="31">
        <v>30000</v>
      </c>
      <c r="D3" s="42"/>
      <c r="E3" s="95" t="s">
        <v>10</v>
      </c>
      <c r="F3" s="95"/>
      <c r="G3" s="3"/>
      <c r="H3" s="42" t="s">
        <v>246</v>
      </c>
      <c r="I3" s="42"/>
      <c r="J3" s="42"/>
      <c r="K3" s="42"/>
      <c r="L3" s="42"/>
      <c r="M3" s="42"/>
      <c r="N3" s="42"/>
      <c r="O3" s="42"/>
      <c r="P3" s="42"/>
    </row>
    <row r="4" spans="1:16" ht="30" outlineLevel="1">
      <c r="A4" s="32" t="s">
        <v>4</v>
      </c>
      <c r="B4" s="63">
        <v>3000</v>
      </c>
      <c r="C4" s="63">
        <v>1000</v>
      </c>
      <c r="D4" s="42"/>
      <c r="E4" s="95" t="s">
        <v>11</v>
      </c>
      <c r="F4" s="95"/>
      <c r="G4" s="3"/>
      <c r="H4" s="42" t="s">
        <v>225</v>
      </c>
      <c r="I4" s="42"/>
      <c r="J4" s="42"/>
      <c r="K4" s="42"/>
      <c r="L4" s="42"/>
      <c r="M4" s="42"/>
      <c r="N4" s="42"/>
      <c r="O4" s="42"/>
      <c r="P4" s="42"/>
    </row>
    <row r="5" spans="1:16" ht="45" outlineLevel="1">
      <c r="A5" s="32" t="s">
        <v>5</v>
      </c>
      <c r="B5" s="100">
        <f>(B3-C3)/(B4-C4)</f>
        <v>7.5</v>
      </c>
      <c r="C5" s="100"/>
      <c r="D5" s="42"/>
      <c r="E5" s="95" t="str">
        <f>"(Celkové náklady 20x5 - Celkové náklady 20x4)
/ (Objem produkcie 20x5 - Objem produkcie 20x4), teda ("&amp;FIXED(B3)&amp;" - "&amp;FIXED(C3)&amp;") / ("&amp;FIXED(B4)&amp;" - "&amp;FIXED(C4)&amp;")"</f>
        <v>(Celkové náklady 20x5 - Celkové náklady 20x4)
/ (Objem produkcie 20x5 - Objem produkcie 20x4), teda (45 000,00 - 30 000,00) / (3 000,00 - 1 000,00)</v>
      </c>
      <c r="F5" s="95"/>
      <c r="G5" s="3"/>
      <c r="H5" s="42" t="s">
        <v>229</v>
      </c>
      <c r="I5" s="42"/>
      <c r="J5" s="42"/>
      <c r="K5" s="42"/>
      <c r="L5" s="42"/>
      <c r="M5" s="42"/>
      <c r="N5" s="42"/>
      <c r="O5" s="42"/>
      <c r="P5" s="42"/>
    </row>
    <row r="6" spans="1:16" ht="15.75" outlineLevel="1">
      <c r="A6" s="32" t="s">
        <v>7</v>
      </c>
      <c r="B6" s="20">
        <f>B5*B4</f>
        <v>22500</v>
      </c>
      <c r="C6" s="20">
        <f>B5*C4</f>
        <v>7500</v>
      </c>
      <c r="D6" s="42"/>
      <c r="E6" s="95" t="s">
        <v>100</v>
      </c>
      <c r="F6" s="95"/>
      <c r="G6" s="3"/>
      <c r="H6" s="42" t="s">
        <v>246</v>
      </c>
      <c r="I6" s="42"/>
      <c r="J6" s="42"/>
      <c r="K6" s="42"/>
      <c r="L6" s="42"/>
      <c r="M6" s="42"/>
      <c r="N6" s="42"/>
      <c r="O6" s="42"/>
      <c r="P6" s="42"/>
    </row>
    <row r="7" spans="1:16" ht="15.75" outlineLevel="1">
      <c r="A7" s="32" t="s">
        <v>6</v>
      </c>
      <c r="B7" s="101">
        <f>B3-B5*B4</f>
        <v>22500</v>
      </c>
      <c r="C7" s="101"/>
      <c r="D7" s="42"/>
      <c r="E7" s="95" t="str">
        <f xml:space="preserve"> IF(B7&lt;0,"Chyba: nejde o lineárny priebeh nákladov, treba zmeniť buď výšku nákladov a/alebo objem produkcie","Celkové náklady - Celkové variabilné náklady")</f>
        <v>Celkové náklady - Celkové variabilné náklady</v>
      </c>
      <c r="F7" s="95"/>
      <c r="G7" s="3"/>
      <c r="H7" s="42" t="s">
        <v>246</v>
      </c>
      <c r="I7" s="42"/>
      <c r="J7" s="42"/>
      <c r="K7" s="42"/>
      <c r="L7" s="42"/>
      <c r="M7" s="42"/>
      <c r="N7" s="42"/>
      <c r="O7" s="42"/>
      <c r="P7" s="42"/>
    </row>
    <row r="8" spans="1:16" ht="30" outlineLevel="1">
      <c r="A8" s="32" t="s">
        <v>8</v>
      </c>
      <c r="B8" s="31">
        <v>30</v>
      </c>
      <c r="C8" s="20">
        <f>B8</f>
        <v>30</v>
      </c>
      <c r="D8" s="42"/>
      <c r="E8" s="95" t="str">
        <f>"Údaj potrebný pre ďalšie úlohy, nie pre rozlišovanie fixných a variabilných nákladov. "&amp;IF(B8&lt;=B5,"Predajná cena musí byť vyššia ako variabilné náklady na 1 kus","")</f>
        <v xml:space="preserve">Údaj potrebný pre ďalšie úlohy, nie pre rozlišovanie fixných a variabilných nákladov. </v>
      </c>
      <c r="F8" s="95"/>
      <c r="G8" s="3"/>
      <c r="H8" s="42" t="s">
        <v>225</v>
      </c>
      <c r="I8" s="42"/>
      <c r="J8" s="42"/>
      <c r="K8" s="42"/>
      <c r="L8" s="42"/>
      <c r="M8" s="42"/>
      <c r="N8" s="42"/>
      <c r="O8" s="42"/>
      <c r="P8" s="42"/>
    </row>
    <row r="9" spans="1:16" s="71" customFormat="1" ht="30" outlineLevel="1">
      <c r="A9" s="89" t="s">
        <v>261</v>
      </c>
      <c r="B9" s="89"/>
      <c r="C9" s="89"/>
      <c r="D9" s="89"/>
      <c r="E9" s="89"/>
      <c r="F9" s="89"/>
      <c r="G9" s="68"/>
      <c r="H9" s="70" t="s">
        <v>225</v>
      </c>
      <c r="I9" s="70"/>
      <c r="J9" s="70"/>
      <c r="K9" s="70"/>
      <c r="L9" s="70"/>
      <c r="M9" s="70"/>
      <c r="N9" s="70"/>
      <c r="O9" s="70"/>
      <c r="P9" s="70"/>
    </row>
    <row r="10" spans="1:16">
      <c r="A10" s="42"/>
      <c r="B10" s="42"/>
      <c r="C10" s="42"/>
      <c r="D10" s="42"/>
      <c r="E10" s="42"/>
      <c r="F10" s="42"/>
      <c r="G10" s="42"/>
      <c r="H10" s="42" t="s">
        <v>246</v>
      </c>
      <c r="I10" s="42"/>
      <c r="J10" s="42"/>
      <c r="K10" s="42"/>
      <c r="L10" s="42"/>
      <c r="M10" s="42"/>
      <c r="N10" s="42"/>
      <c r="O10" s="42"/>
      <c r="P10" s="42"/>
    </row>
    <row r="11" spans="1:16" ht="15.75">
      <c r="A11" s="94" t="s">
        <v>2</v>
      </c>
      <c r="B11" s="94"/>
      <c r="C11" s="94"/>
      <c r="D11" s="94"/>
      <c r="E11" s="94"/>
      <c r="F11" s="94"/>
      <c r="G11" s="55"/>
      <c r="H11" s="42" t="s">
        <v>246</v>
      </c>
      <c r="I11" s="42"/>
      <c r="J11" s="42"/>
      <c r="K11" s="42"/>
      <c r="L11" s="42"/>
      <c r="M11" s="42"/>
      <c r="N11" s="42"/>
      <c r="O11" s="42"/>
      <c r="P11" s="42"/>
    </row>
    <row r="12" spans="1:16" ht="30" outlineLevel="1">
      <c r="A12" s="32" t="s">
        <v>9</v>
      </c>
      <c r="B12" s="30">
        <f>(B7/(B8-B5))</f>
        <v>1000</v>
      </c>
      <c r="C12" s="90" t="str">
        <f>"= Fixné náklady / (Predajná cena výrobkov - Variabilné náklady na 1 kus); "&amp;IF(B12&lt;0,"Chyba vo vstupných parametroch, bod zvratu nemôže byť záporný","V reále je potrebné výpočet zaokrúhliť nahor na najbližší celočíselný počet kusov")</f>
        <v>= Fixné náklady / (Predajná cena výrobkov - Variabilné náklady na 1 kus); V reále je potrebné výpočet zaokrúhliť nahor na najbližší celočíselný počet kusov</v>
      </c>
      <c r="D12" s="91"/>
      <c r="E12" s="91"/>
      <c r="F12" s="91"/>
      <c r="G12" s="3"/>
      <c r="H12" s="42" t="s">
        <v>225</v>
      </c>
      <c r="I12" s="42"/>
      <c r="J12" s="42"/>
      <c r="K12" s="42"/>
      <c r="L12" s="42"/>
      <c r="M12" s="42"/>
      <c r="N12" s="42"/>
      <c r="O12" s="42"/>
      <c r="P12" s="42"/>
    </row>
    <row r="13" spans="1:16" ht="15.75" outlineLevel="1">
      <c r="A13" s="98" t="s">
        <v>91</v>
      </c>
      <c r="B13" s="99"/>
      <c r="C13" s="99"/>
      <c r="D13" s="99"/>
      <c r="E13" s="99"/>
      <c r="F13" s="51"/>
      <c r="G13" s="51"/>
      <c r="H13" s="42" t="s">
        <v>246</v>
      </c>
      <c r="I13" s="42"/>
      <c r="J13" s="42"/>
      <c r="K13" s="42"/>
      <c r="L13" s="42"/>
      <c r="M13" s="42"/>
      <c r="N13" s="42"/>
      <c r="O13" s="42"/>
      <c r="P13" s="42"/>
    </row>
    <row r="14" spans="1:16" ht="15.75" outlineLevel="1">
      <c r="A14" s="32" t="s">
        <v>7</v>
      </c>
      <c r="B14" s="30">
        <f>B5*B12</f>
        <v>7500</v>
      </c>
      <c r="C14" s="90" t="str">
        <f>"Variabilné náklady na 1 kus x Bod zvratu, teda "&amp;FIXED(B5)&amp;" x "&amp;FIXED(B12)</f>
        <v>Variabilné náklady na 1 kus x Bod zvratu, teda 7,50 x 1 000,00</v>
      </c>
      <c r="D14" s="91"/>
      <c r="E14" s="91"/>
      <c r="F14" s="91"/>
      <c r="G14" s="13"/>
      <c r="H14" s="42" t="s">
        <v>246</v>
      </c>
      <c r="I14" s="42"/>
      <c r="J14" s="42"/>
      <c r="K14" s="42"/>
      <c r="L14" s="42"/>
      <c r="M14" s="42"/>
      <c r="N14" s="42"/>
      <c r="O14" s="42"/>
      <c r="P14" s="42"/>
    </row>
    <row r="15" spans="1:16" ht="15.75" outlineLevel="1">
      <c r="A15" s="32" t="s">
        <v>3</v>
      </c>
      <c r="B15" s="30">
        <f>B14+B7</f>
        <v>30000</v>
      </c>
      <c r="C15" s="90" t="str">
        <f>"Celkové variabilné náklady + Fixné náklady, teda "&amp;FIXED(B14)&amp;" + "&amp;FIXED(B7)</f>
        <v>Celkové variabilné náklady + Fixné náklady, teda 7 500,00 + 22 500,00</v>
      </c>
      <c r="D15" s="91"/>
      <c r="E15" s="91"/>
      <c r="F15" s="91"/>
      <c r="G15" s="13"/>
      <c r="H15" s="42" t="s">
        <v>246</v>
      </c>
      <c r="I15" s="42"/>
      <c r="J15" s="42"/>
      <c r="K15" s="42"/>
      <c r="L15" s="42"/>
      <c r="M15" s="42"/>
      <c r="N15" s="42"/>
      <c r="O15" s="42"/>
      <c r="P15" s="42"/>
    </row>
    <row r="16" spans="1:16" ht="15.75" outlineLevel="1">
      <c r="A16" s="32" t="s">
        <v>30</v>
      </c>
      <c r="B16" s="30">
        <f>B8*B12</f>
        <v>30000</v>
      </c>
      <c r="C16" s="90" t="str">
        <f xml:space="preserve"> "Predajná cena x Bod zvratu, teda "&amp;FIXED(B8)&amp;" x "&amp;FIXED(B12)</f>
        <v>Predajná cena x Bod zvratu, teda 30,00 x 1 000,00</v>
      </c>
      <c r="D16" s="91"/>
      <c r="E16" s="91"/>
      <c r="F16" s="91"/>
      <c r="G16" s="13"/>
      <c r="H16" s="42" t="s">
        <v>246</v>
      </c>
      <c r="I16" s="42"/>
      <c r="J16" s="42"/>
      <c r="K16" s="42"/>
      <c r="L16" s="42"/>
      <c r="M16" s="42"/>
      <c r="N16" s="42"/>
      <c r="O16" s="42"/>
      <c r="P16" s="42"/>
    </row>
    <row r="17" spans="1:16" ht="15.75" outlineLevel="1">
      <c r="A17" s="32" t="s">
        <v>31</v>
      </c>
      <c r="B17" s="30">
        <f>B16-B15</f>
        <v>0</v>
      </c>
      <c r="C17" s="90" t="s">
        <v>32</v>
      </c>
      <c r="D17" s="91"/>
      <c r="E17" s="91"/>
      <c r="F17" s="91"/>
      <c r="G17" s="13"/>
      <c r="H17" s="42" t="s">
        <v>246</v>
      </c>
      <c r="I17" s="42"/>
      <c r="J17" s="42"/>
      <c r="K17" s="42"/>
      <c r="L17" s="42"/>
      <c r="M17" s="42"/>
      <c r="N17" s="42"/>
      <c r="O17" s="42"/>
      <c r="P17" s="42"/>
    </row>
    <row r="18" spans="1:16">
      <c r="A18" s="42"/>
      <c r="B18" s="42"/>
      <c r="C18" s="42"/>
      <c r="D18" s="42"/>
      <c r="E18" s="42"/>
      <c r="F18" s="42"/>
      <c r="G18" s="42"/>
      <c r="H18" s="42" t="s">
        <v>246</v>
      </c>
      <c r="I18" s="42"/>
      <c r="J18" s="42"/>
      <c r="K18" s="42"/>
      <c r="L18" s="42"/>
      <c r="M18" s="42"/>
      <c r="N18" s="42"/>
      <c r="O18" s="42"/>
      <c r="P18" s="42"/>
    </row>
    <row r="19" spans="1:16" ht="15.75">
      <c r="A19" s="94" t="s">
        <v>23</v>
      </c>
      <c r="B19" s="94"/>
      <c r="C19" s="94"/>
      <c r="D19" s="94"/>
      <c r="E19" s="94"/>
      <c r="F19" s="94"/>
      <c r="G19" s="55"/>
      <c r="H19" s="42" t="s">
        <v>246</v>
      </c>
      <c r="I19" s="42"/>
      <c r="J19" s="42"/>
      <c r="K19" s="42"/>
      <c r="L19" s="42"/>
      <c r="M19" s="42"/>
      <c r="N19" s="42"/>
      <c r="O19" s="42"/>
      <c r="P19" s="42"/>
    </row>
    <row r="20" spans="1:16" ht="15.75" outlineLevel="1">
      <c r="A20" s="32" t="s">
        <v>13</v>
      </c>
      <c r="B20" s="31">
        <v>40000</v>
      </c>
      <c r="C20" s="90" t="s">
        <v>110</v>
      </c>
      <c r="D20" s="95"/>
      <c r="E20" s="95"/>
      <c r="F20" s="95"/>
      <c r="G20" s="3"/>
      <c r="H20" s="42" t="s">
        <v>246</v>
      </c>
      <c r="I20" s="42"/>
      <c r="J20" s="42"/>
      <c r="K20" s="42"/>
      <c r="L20" s="42"/>
      <c r="M20" s="42"/>
      <c r="N20" s="42"/>
      <c r="O20" s="42"/>
      <c r="P20" s="42"/>
    </row>
    <row r="21" spans="1:16" ht="30" outlineLevel="1">
      <c r="A21" s="32" t="s">
        <v>15</v>
      </c>
      <c r="B21" s="20">
        <f>(B7+B20)/(B8-B5)</f>
        <v>2777.7777777777778</v>
      </c>
      <c r="C21" s="90" t="str">
        <f>"(Fixné náklady + Cieľový zisk) / (Predajná cena výrobkov - Variabilné náklady na 1 kus), teda "&amp;"("&amp;FIXED(B7)&amp;" + "&amp;FIXED(B20)&amp;") / ("&amp;FIXED(B8)&amp;" - "&amp;FIXED(B5)&amp;")"</f>
        <v>(Fixné náklady + Cieľový zisk) / (Predajná cena výrobkov - Variabilné náklady na 1 kus), teda (22 500,00 + 40 000,00) / (30,00 - 7,50)</v>
      </c>
      <c r="D21" s="91"/>
      <c r="E21" s="91"/>
      <c r="F21" s="91"/>
      <c r="G21" s="3"/>
      <c r="H21" s="42" t="s">
        <v>225</v>
      </c>
      <c r="I21" s="42"/>
      <c r="J21" s="42"/>
      <c r="K21" s="42"/>
      <c r="L21" s="42"/>
      <c r="M21" s="42"/>
      <c r="N21" s="42"/>
      <c r="O21" s="42"/>
      <c r="P21" s="42"/>
    </row>
    <row r="22" spans="1:16" ht="15.75" outlineLevel="1">
      <c r="A22" s="92" t="s">
        <v>91</v>
      </c>
      <c r="B22" s="93"/>
      <c r="C22" s="93"/>
      <c r="D22" s="93"/>
      <c r="E22" s="93"/>
      <c r="F22" s="93"/>
      <c r="G22" s="51"/>
      <c r="H22" s="42" t="s">
        <v>246</v>
      </c>
      <c r="I22" s="42"/>
      <c r="J22" s="42"/>
      <c r="K22" s="42"/>
      <c r="L22" s="42"/>
      <c r="M22" s="42"/>
      <c r="N22" s="42"/>
      <c r="O22" s="42"/>
      <c r="P22" s="42"/>
    </row>
    <row r="23" spans="1:16" ht="15.75" outlineLevel="1">
      <c r="A23" s="16" t="s">
        <v>7</v>
      </c>
      <c r="B23" s="17">
        <f>B5*B21</f>
        <v>20833.333333333332</v>
      </c>
      <c r="C23" s="91" t="str">
        <f>"Variabilné náklady na 1 kus x Objem výroby a predaja, teda "&amp;FIXED(B5)&amp;" x "&amp;FIXED(B21)</f>
        <v>Variabilné náklady na 1 kus x Objem výroby a predaja, teda 7,50 x 2 777,78</v>
      </c>
      <c r="D23" s="91"/>
      <c r="E23" s="91"/>
      <c r="F23" s="91"/>
      <c r="G23" s="13"/>
      <c r="H23" s="42" t="s">
        <v>246</v>
      </c>
      <c r="I23" s="42"/>
      <c r="J23" s="42"/>
      <c r="K23" s="42"/>
      <c r="L23" s="42"/>
      <c r="M23" s="42"/>
      <c r="N23" s="42"/>
      <c r="O23" s="42"/>
      <c r="P23" s="42"/>
    </row>
    <row r="24" spans="1:16" ht="15.75" outlineLevel="1">
      <c r="A24" s="16" t="s">
        <v>3</v>
      </c>
      <c r="B24" s="39">
        <f>B23+B7</f>
        <v>43333.333333333328</v>
      </c>
      <c r="C24" s="91" t="str">
        <f>"Celkové variabilné náklady + Fixné náklady, teda "&amp;FIXED(B23)&amp;" + "&amp;FIXED(B7)</f>
        <v>Celkové variabilné náklady + Fixné náklady, teda 20 833,33 + 22 500,00</v>
      </c>
      <c r="D24" s="91"/>
      <c r="E24" s="91"/>
      <c r="F24" s="91"/>
      <c r="G24" s="13"/>
      <c r="H24" s="42" t="s">
        <v>246</v>
      </c>
      <c r="I24" s="42"/>
      <c r="J24" s="42"/>
      <c r="K24" s="42"/>
      <c r="L24" s="42"/>
      <c r="M24" s="42"/>
      <c r="N24" s="42"/>
      <c r="O24" s="42"/>
      <c r="P24" s="42"/>
    </row>
    <row r="25" spans="1:16" ht="15.75" outlineLevel="1">
      <c r="A25" s="16" t="s">
        <v>30</v>
      </c>
      <c r="B25" s="17">
        <f>B8*B21</f>
        <v>83333.333333333328</v>
      </c>
      <c r="C25" s="91" t="str">
        <f>"Predajná cena x Objem výroby a predaja, teda "&amp;FIXED(B8)&amp;" x "&amp;FIXED(B21)</f>
        <v>Predajná cena x Objem výroby a predaja, teda 30,00 x 2 777,78</v>
      </c>
      <c r="D25" s="91"/>
      <c r="E25" s="91"/>
      <c r="F25" s="91"/>
      <c r="G25" s="13"/>
      <c r="H25" s="42" t="s">
        <v>246</v>
      </c>
      <c r="I25" s="42"/>
      <c r="J25" s="42"/>
      <c r="K25" s="42"/>
      <c r="L25" s="42"/>
      <c r="M25" s="42"/>
      <c r="N25" s="42"/>
      <c r="O25" s="42"/>
      <c r="P25" s="42"/>
    </row>
    <row r="26" spans="1:16" ht="15.75" outlineLevel="1">
      <c r="A26" s="16" t="s">
        <v>31</v>
      </c>
      <c r="B26" s="17">
        <f>B25-B24</f>
        <v>40000</v>
      </c>
      <c r="C26" s="91" t="s">
        <v>32</v>
      </c>
      <c r="D26" s="91"/>
      <c r="E26" s="91"/>
      <c r="F26" s="91"/>
      <c r="G26" s="13"/>
      <c r="H26" s="42" t="s">
        <v>246</v>
      </c>
      <c r="I26" s="42"/>
      <c r="J26" s="42"/>
      <c r="K26" s="42"/>
      <c r="L26" s="42"/>
      <c r="M26" s="42"/>
      <c r="N26" s="42"/>
      <c r="O26" s="42"/>
      <c r="P26" s="42"/>
    </row>
    <row r="27" spans="1:16">
      <c r="A27" s="42"/>
      <c r="B27" s="42"/>
      <c r="C27" s="97"/>
      <c r="D27" s="97"/>
      <c r="E27" s="97"/>
      <c r="F27" s="15"/>
      <c r="G27" s="15"/>
      <c r="H27" s="42" t="s">
        <v>246</v>
      </c>
      <c r="I27" s="42"/>
      <c r="J27" s="42"/>
      <c r="K27" s="42"/>
      <c r="L27" s="42"/>
      <c r="M27" s="42"/>
      <c r="N27" s="42"/>
      <c r="O27" s="42"/>
      <c r="P27" s="42"/>
    </row>
    <row r="28" spans="1:16" ht="15.75">
      <c r="A28" s="94" t="s">
        <v>253</v>
      </c>
      <c r="B28" s="94"/>
      <c r="C28" s="94"/>
      <c r="D28" s="94"/>
      <c r="E28" s="94"/>
      <c r="F28" s="94"/>
      <c r="G28" s="55"/>
      <c r="H28" s="42" t="s">
        <v>246</v>
      </c>
      <c r="I28" s="42"/>
      <c r="J28" s="42"/>
      <c r="K28" s="42"/>
      <c r="L28" s="42"/>
      <c r="M28" s="42"/>
      <c r="N28" s="42"/>
      <c r="O28" s="42"/>
      <c r="P28" s="42"/>
    </row>
    <row r="29" spans="1:16" ht="30" outlineLevel="1">
      <c r="A29" s="32" t="s">
        <v>22</v>
      </c>
      <c r="B29" s="64">
        <v>0.22</v>
      </c>
      <c r="C29" s="90" t="str">
        <f>"Je potrebné zadať; pri daných hodnotách predajnej ceny, variabilných a fixných nákladov musí byť cieľová rentabilita tržieb nižšia než "&amp;(1-$B$5/$B$8)*100&amp;" %"</f>
        <v>Je potrebné zadať; pri daných hodnotách predajnej ceny, variabilných a fixných nákladov musí byť cieľová rentabilita tržieb nižšia než 75 %</v>
      </c>
      <c r="D29" s="95"/>
      <c r="E29" s="95"/>
      <c r="F29" s="95"/>
      <c r="G29" s="3"/>
      <c r="H29" s="42" t="s">
        <v>225</v>
      </c>
      <c r="I29" s="42"/>
      <c r="J29" s="42"/>
      <c r="K29" s="42"/>
      <c r="L29" s="42"/>
      <c r="M29" s="42"/>
      <c r="N29" s="42"/>
      <c r="O29" s="42"/>
      <c r="P29" s="42"/>
    </row>
    <row r="30" spans="1:16" ht="45" outlineLevel="1">
      <c r="A30" s="32" t="s">
        <v>15</v>
      </c>
      <c r="B30" s="20">
        <f>B7/(B8-B5-B29*B8)</f>
        <v>1415.0943396226414</v>
      </c>
      <c r="C30" s="90" t="str">
        <f>"Fixné náklady / (Predajná cena výrobkov - Variabilné náklady na 1 kus - Cieľová rentabilita / 100 % x Predajná cena výrobkov), teda "&amp;FIXED(B7)&amp;" / ("&amp;FIXED(B8)&amp;" - "&amp;FIXED(B5)&amp;" - "&amp;FIXED(B29)&amp;" x "&amp;FIXED(B8)&amp;")"</f>
        <v>Fixné náklady / (Predajná cena výrobkov - Variabilné náklady na 1 kus - Cieľová rentabilita / 100 % x Predajná cena výrobkov), teda 22 500,00 / (30,00 - 7,50 - 0,22 x 30,00)</v>
      </c>
      <c r="D30" s="91"/>
      <c r="E30" s="91"/>
      <c r="F30" s="91"/>
      <c r="G30" s="3"/>
      <c r="H30" s="42" t="s">
        <v>229</v>
      </c>
      <c r="I30" s="42"/>
      <c r="J30" s="42"/>
      <c r="K30" s="42"/>
      <c r="L30" s="42"/>
      <c r="M30" s="42"/>
      <c r="N30" s="42"/>
      <c r="O30" s="42"/>
      <c r="P30" s="42"/>
    </row>
    <row r="31" spans="1:16" ht="15.75" outlineLevel="1">
      <c r="A31" s="98" t="s">
        <v>91</v>
      </c>
      <c r="B31" s="99"/>
      <c r="C31" s="99"/>
      <c r="D31" s="99"/>
      <c r="E31" s="99"/>
      <c r="F31" s="51"/>
      <c r="G31" s="51"/>
      <c r="H31" s="42" t="s">
        <v>246</v>
      </c>
      <c r="I31" s="42"/>
      <c r="J31" s="42"/>
      <c r="K31" s="42"/>
      <c r="L31" s="42"/>
      <c r="M31" s="42"/>
      <c r="N31" s="42"/>
      <c r="O31" s="42"/>
      <c r="P31" s="42"/>
    </row>
    <row r="32" spans="1:16" ht="15.75" outlineLevel="1">
      <c r="A32" s="32" t="s">
        <v>94</v>
      </c>
      <c r="B32" s="20">
        <f>B8*B30</f>
        <v>42452.83018867924</v>
      </c>
      <c r="C32" s="90" t="str">
        <f>"Predajná cena výrobkov x Objem výroby a predaja, teda "&amp;FIXED(B8)&amp;" x "&amp;FIXED(B30)</f>
        <v>Predajná cena výrobkov x Objem výroby a predaja, teda 30,00 x 1 415,09</v>
      </c>
      <c r="D32" s="91"/>
      <c r="E32" s="91"/>
      <c r="F32" s="91"/>
      <c r="G32" s="3"/>
      <c r="H32" s="42" t="s">
        <v>246</v>
      </c>
      <c r="I32" s="42"/>
      <c r="J32" s="42"/>
      <c r="K32" s="42"/>
      <c r="L32" s="42"/>
      <c r="M32" s="42"/>
      <c r="N32" s="42"/>
      <c r="O32" s="42"/>
      <c r="P32" s="42"/>
    </row>
    <row r="33" spans="1:16" ht="31.5" outlineLevel="1">
      <c r="A33" s="32" t="s">
        <v>95</v>
      </c>
      <c r="B33" s="20">
        <f>B5*B30</f>
        <v>10613.20754716981</v>
      </c>
      <c r="C33" s="90" t="str">
        <f>"Variabilné náklady na 1 kus x Objem výroby a predaja, teda "&amp;FIXED(B5)&amp;" x "&amp;FIXED(B30)</f>
        <v>Variabilné náklady na 1 kus x Objem výroby a predaja, teda 7,50 x 1 415,09</v>
      </c>
      <c r="D33" s="91"/>
      <c r="E33" s="91"/>
      <c r="F33" s="91"/>
      <c r="G33" s="13"/>
      <c r="H33" s="42" t="s">
        <v>246</v>
      </c>
      <c r="I33" s="42"/>
      <c r="J33" s="42"/>
      <c r="K33" s="42"/>
      <c r="L33" s="42"/>
      <c r="M33" s="42"/>
      <c r="N33" s="42"/>
      <c r="O33" s="42"/>
      <c r="P33" s="42"/>
    </row>
    <row r="34" spans="1:16" ht="31.5" outlineLevel="1">
      <c r="A34" s="32" t="s">
        <v>96</v>
      </c>
      <c r="B34" s="20">
        <f>B30*B5+B7</f>
        <v>33113.207547169812</v>
      </c>
      <c r="C34" s="90" t="str">
        <f>"Celkové variabilné náklady + Fixné náklady, teda "&amp;FIXED(B33)&amp;" + "&amp;FIXED(B7)</f>
        <v>Celkové variabilné náklady + Fixné náklady, teda 10 613,21 + 22 500,00</v>
      </c>
      <c r="D34" s="95"/>
      <c r="E34" s="95"/>
      <c r="F34" s="3"/>
      <c r="G34" s="3"/>
      <c r="H34" s="42" t="s">
        <v>225</v>
      </c>
      <c r="I34" s="42"/>
      <c r="J34" s="42"/>
      <c r="K34" s="42"/>
      <c r="L34" s="42"/>
      <c r="M34" s="42"/>
      <c r="N34" s="42"/>
      <c r="O34" s="42"/>
      <c r="P34" s="42"/>
    </row>
    <row r="35" spans="1:16" ht="30" outlineLevel="1">
      <c r="A35" s="32" t="s">
        <v>97</v>
      </c>
      <c r="B35" s="20">
        <f>IF(B32-B34&gt;=0,B32-B34,0)</f>
        <v>9339.6226415094279</v>
      </c>
      <c r="C35" s="90" t="str">
        <f>"Tržby pri danom objeme výroby a predaja - Celkové náklady pri danom objeme výroby a predaja {ak je výsledok kladný}, teda "&amp;FIXED(B32)&amp;" - "&amp;FIXED(B34)</f>
        <v>Tržby pri danom objeme výroby a predaja - Celkové náklady pri danom objeme výroby a predaja {ak je výsledok kladný}, teda 42 452,83 - 33 113,21</v>
      </c>
      <c r="D35" s="91"/>
      <c r="E35" s="91"/>
      <c r="F35" s="91"/>
      <c r="G35" s="3"/>
      <c r="H35" s="42" t="s">
        <v>225</v>
      </c>
      <c r="I35" s="42"/>
      <c r="J35" s="42"/>
      <c r="K35" s="42"/>
      <c r="L35" s="42"/>
      <c r="M35" s="42"/>
      <c r="N35" s="42"/>
      <c r="O35" s="42"/>
      <c r="P35" s="42"/>
    </row>
    <row r="36" spans="1:16" ht="30" outlineLevel="1">
      <c r="A36" s="32" t="s">
        <v>98</v>
      </c>
      <c r="B36" s="65">
        <f>IF(B32-B34&lt;0,B32-B34,0)</f>
        <v>0</v>
      </c>
      <c r="C36" s="90" t="s">
        <v>21</v>
      </c>
      <c r="D36" s="91"/>
      <c r="E36" s="91"/>
      <c r="F36" s="91"/>
      <c r="G36" s="3"/>
      <c r="H36" s="42" t="s">
        <v>225</v>
      </c>
      <c r="I36" s="42"/>
      <c r="J36" s="42"/>
      <c r="K36" s="42"/>
      <c r="L36" s="42"/>
      <c r="M36" s="42"/>
      <c r="N36" s="42"/>
      <c r="O36" s="42"/>
      <c r="P36" s="42"/>
    </row>
    <row r="37" spans="1:16" ht="31.5" outlineLevel="1">
      <c r="A37" s="32" t="s">
        <v>99</v>
      </c>
      <c r="B37" s="66">
        <f>B35/B32</f>
        <v>0.21999999999999989</v>
      </c>
      <c r="C37" s="90" t="str">
        <f xml:space="preserve"> "Zisk pri danom objeme výroby a predaja / Tržby pri danom objeme výroby a predaja, teda "&amp;FIXED(B35)&amp;" / "&amp;FIXED(B32)</f>
        <v>Zisk pri danom objeme výroby a predaja / Tržby pri danom objeme výroby a predaja, teda 9 339,62 / 42 452,83</v>
      </c>
      <c r="D37" s="91"/>
      <c r="E37" s="91"/>
      <c r="F37" s="91"/>
      <c r="G37" s="3"/>
      <c r="H37" s="42" t="s">
        <v>225</v>
      </c>
      <c r="I37" s="42"/>
      <c r="J37" s="42"/>
      <c r="K37" s="42"/>
      <c r="L37" s="42"/>
      <c r="M37" s="42"/>
      <c r="N37" s="42"/>
      <c r="O37" s="42"/>
      <c r="P37" s="42"/>
    </row>
    <row r="38" spans="1:16">
      <c r="A38" s="50"/>
      <c r="B38" s="50"/>
      <c r="C38" s="50"/>
      <c r="D38" s="50"/>
      <c r="E38" s="50"/>
      <c r="F38" s="50"/>
      <c r="G38" s="50"/>
      <c r="H38" s="42" t="s">
        <v>246</v>
      </c>
      <c r="I38" s="42"/>
      <c r="J38" s="42"/>
      <c r="K38" s="42"/>
      <c r="L38" s="42"/>
      <c r="M38" s="42"/>
      <c r="N38" s="42"/>
      <c r="O38" s="42"/>
      <c r="P38" s="42"/>
    </row>
    <row r="39" spans="1:16" ht="15.75" customHeight="1">
      <c r="A39" s="94" t="s">
        <v>24</v>
      </c>
      <c r="B39" s="94"/>
      <c r="C39" s="94"/>
      <c r="D39" s="94"/>
      <c r="E39" s="94"/>
      <c r="F39" s="94"/>
      <c r="G39" s="55"/>
      <c r="H39" s="42" t="s">
        <v>246</v>
      </c>
      <c r="I39" s="42"/>
      <c r="J39" s="42"/>
      <c r="K39" s="42"/>
      <c r="L39" s="42"/>
      <c r="M39" s="42"/>
      <c r="N39" s="42"/>
      <c r="O39" s="42"/>
      <c r="P39" s="42"/>
    </row>
    <row r="40" spans="1:16" ht="15.75" outlineLevel="1">
      <c r="A40" s="32" t="s">
        <v>8</v>
      </c>
      <c r="B40" s="67">
        <f>B8</f>
        <v>30</v>
      </c>
      <c r="C40" s="95" t="s">
        <v>27</v>
      </c>
      <c r="D40" s="95"/>
      <c r="E40" s="95"/>
      <c r="F40" s="3"/>
      <c r="G40" s="3"/>
      <c r="H40" s="42" t="s">
        <v>246</v>
      </c>
      <c r="I40" s="42"/>
      <c r="J40" s="42"/>
      <c r="K40" s="42"/>
      <c r="L40" s="42"/>
      <c r="M40" s="42"/>
      <c r="N40" s="42"/>
      <c r="O40" s="42"/>
      <c r="P40" s="42"/>
    </row>
    <row r="41" spans="1:16" ht="45" outlineLevel="1">
      <c r="A41" s="32" t="s">
        <v>107</v>
      </c>
      <c r="B41" s="20">
        <f>B7/(1-B5/B8)</f>
        <v>30000</v>
      </c>
      <c r="C41" s="90" t="str">
        <f>"Fixné náklady / (1 - Variabilné náklady na 1 kus / Predajná cena výrobkov), teda "&amp;FIXED(B7)&amp;" / ("&amp;FIXED(1)&amp;" - "&amp;FIXED(B5)&amp;" / "&amp;FIXED(B8)&amp;"); alternatívne: vypočíta fyzický objem výroby a predaja a prenásobí sa predajnou cenou výrobkov"</f>
        <v>Fixné náklady / (1 - Variabilné náklady na 1 kus / Predajná cena výrobkov), teda 22 500,00 / (1,00 - 7,50 / 30,00); alternatívne: vypočíta fyzický objem výroby a predaja a prenásobí sa predajnou cenou výrobkov</v>
      </c>
      <c r="D41" s="91"/>
      <c r="E41" s="91"/>
      <c r="F41" s="91"/>
      <c r="G41" s="3"/>
      <c r="H41" s="42" t="s">
        <v>229</v>
      </c>
      <c r="I41" s="42"/>
      <c r="J41" s="42"/>
      <c r="K41" s="42"/>
      <c r="L41" s="42"/>
      <c r="M41" s="42"/>
      <c r="N41" s="42"/>
      <c r="O41" s="42"/>
      <c r="P41" s="42"/>
    </row>
    <row r="42" spans="1:16" ht="15.75" outlineLevel="1">
      <c r="A42" s="92" t="s">
        <v>91</v>
      </c>
      <c r="B42" s="93"/>
      <c r="C42" s="93"/>
      <c r="D42" s="93"/>
      <c r="E42" s="93"/>
      <c r="F42" s="93"/>
      <c r="G42" s="51"/>
      <c r="H42" s="42" t="s">
        <v>246</v>
      </c>
      <c r="I42" s="42"/>
      <c r="J42" s="42"/>
      <c r="K42" s="42"/>
      <c r="L42" s="42"/>
      <c r="M42" s="42"/>
      <c r="N42" s="42"/>
      <c r="O42" s="42"/>
      <c r="P42" s="42"/>
    </row>
    <row r="43" spans="1:16" ht="15.75" outlineLevel="1">
      <c r="A43" s="32" t="s">
        <v>107</v>
      </c>
      <c r="B43" s="33">
        <f>B41</f>
        <v>30000</v>
      </c>
      <c r="C43" s="90" t="s">
        <v>108</v>
      </c>
      <c r="D43" s="91"/>
      <c r="E43" s="91"/>
      <c r="F43" s="91"/>
      <c r="G43" s="13"/>
      <c r="H43" s="42" t="s">
        <v>246</v>
      </c>
      <c r="I43" s="42"/>
      <c r="J43" s="42"/>
      <c r="K43" s="42"/>
      <c r="L43" s="42"/>
      <c r="M43" s="42"/>
      <c r="N43" s="42"/>
      <c r="O43" s="42"/>
      <c r="P43" s="42"/>
    </row>
    <row r="44" spans="1:16" ht="31.5" outlineLevel="1">
      <c r="A44" s="32" t="s">
        <v>43</v>
      </c>
      <c r="B44" s="20">
        <f>B41/B8</f>
        <v>1000</v>
      </c>
      <c r="C44" s="90" t="str">
        <f>"Tržby zodpovedajúce bodu zvratu / Predajná cena výrobkov, teda "&amp;FIXED(B41)&amp;" / "&amp;FIXED(B40)</f>
        <v>Tržby zodpovedajúce bodu zvratu / Predajná cena výrobkov, teda 30 000,00 / 30,00</v>
      </c>
      <c r="D44" s="91"/>
      <c r="E44" s="91"/>
      <c r="F44" s="91"/>
      <c r="G44" s="13"/>
      <c r="H44" s="42" t="s">
        <v>225</v>
      </c>
      <c r="I44" s="42"/>
      <c r="J44" s="42"/>
      <c r="K44" s="42"/>
      <c r="L44" s="42"/>
      <c r="M44" s="42"/>
      <c r="N44" s="42"/>
      <c r="O44" s="42"/>
      <c r="P44" s="42"/>
    </row>
    <row r="45" spans="1:16" ht="31.5" outlineLevel="1">
      <c r="A45" s="32" t="s">
        <v>44</v>
      </c>
      <c r="B45" s="20">
        <f>B44*B5</f>
        <v>7500</v>
      </c>
      <c r="C45" s="90" t="str">
        <f>"Variabilné náklady na 1 kus x Objem výroby a predaja zodpovedajúci požadovaným tržbám, teda "&amp;FIXED(B5)&amp;" x "&amp;FIXED(B44)</f>
        <v>Variabilné náklady na 1 kus x Objem výroby a predaja zodpovedajúci požadovaným tržbám, teda 7,50 x 1 000,00</v>
      </c>
      <c r="D45" s="91"/>
      <c r="E45" s="91"/>
      <c r="F45" s="91"/>
      <c r="G45" s="13"/>
      <c r="H45" s="42" t="s">
        <v>225</v>
      </c>
      <c r="I45" s="42"/>
      <c r="J45" s="42"/>
      <c r="K45" s="42"/>
      <c r="L45" s="42"/>
      <c r="M45" s="42"/>
      <c r="N45" s="42"/>
      <c r="O45" s="42"/>
      <c r="P45" s="42"/>
    </row>
    <row r="46" spans="1:16" ht="31.5" outlineLevel="1">
      <c r="A46" s="32" t="s">
        <v>45</v>
      </c>
      <c r="B46" s="20">
        <f>B45+B7</f>
        <v>30000</v>
      </c>
      <c r="C46" s="90" t="str">
        <f>"Celkové variabilné náklady + Fixné náklady, teda "&amp;FIXED(B45)&amp;" + "&amp;FIXED(B7)</f>
        <v>Celkové variabilné náklady + Fixné náklady, teda 7 500,00 + 22 500,00</v>
      </c>
      <c r="D46" s="91"/>
      <c r="E46" s="91"/>
      <c r="F46" s="91"/>
      <c r="G46" s="3"/>
      <c r="H46" s="42" t="s">
        <v>225</v>
      </c>
      <c r="I46" s="42"/>
      <c r="J46" s="42"/>
      <c r="K46" s="42"/>
      <c r="L46" s="42"/>
      <c r="M46" s="42"/>
      <c r="N46" s="42"/>
      <c r="O46" s="42"/>
      <c r="P46" s="42"/>
    </row>
    <row r="47" spans="1:16" ht="30" outlineLevel="1">
      <c r="A47" s="32" t="s">
        <v>46</v>
      </c>
      <c r="B47" s="20">
        <f>B41-B46</f>
        <v>0</v>
      </c>
      <c r="C47" s="90" t="str">
        <f>"Tržby zodpovedajúce bodu zvratu - Celkové náklady pri danom objeme výroby a predaja {ak je výsledok kladný}, teda "&amp;FIXED(B43)&amp;" - "&amp;FIXED(B46)</f>
        <v>Tržby zodpovedajúce bodu zvratu - Celkové náklady pri danom objeme výroby a predaja {ak je výsledok kladný}, teda 30 000,00 - 30 000,00</v>
      </c>
      <c r="D47" s="91"/>
      <c r="E47" s="91"/>
      <c r="F47" s="91"/>
      <c r="G47" s="91"/>
      <c r="H47" s="42" t="s">
        <v>225</v>
      </c>
      <c r="I47" s="42"/>
      <c r="J47" s="42"/>
      <c r="K47" s="42"/>
      <c r="L47" s="42"/>
      <c r="M47" s="42"/>
      <c r="N47" s="42"/>
      <c r="O47" s="42"/>
      <c r="P47" s="42"/>
    </row>
    <row r="48" spans="1:16" ht="15.75">
      <c r="A48" s="51"/>
      <c r="B48" s="51"/>
      <c r="C48" s="97"/>
      <c r="D48" s="97"/>
      <c r="E48" s="97"/>
      <c r="F48" s="15"/>
      <c r="G48" s="15"/>
      <c r="H48" s="42" t="s">
        <v>246</v>
      </c>
      <c r="I48" s="42"/>
      <c r="J48" s="42"/>
      <c r="K48" s="42"/>
      <c r="L48" s="42"/>
      <c r="M48" s="42"/>
      <c r="N48" s="42"/>
      <c r="O48" s="42"/>
      <c r="P48" s="42"/>
    </row>
    <row r="49" spans="1:16" ht="15.75" customHeight="1">
      <c r="A49" s="94" t="s">
        <v>252</v>
      </c>
      <c r="B49" s="94"/>
      <c r="C49" s="94"/>
      <c r="D49" s="94"/>
      <c r="E49" s="94"/>
      <c r="F49" s="94"/>
      <c r="G49" s="55"/>
      <c r="H49" s="42" t="s">
        <v>246</v>
      </c>
      <c r="I49" s="42"/>
      <c r="J49" s="42"/>
      <c r="K49" s="42"/>
      <c r="L49" s="42"/>
      <c r="M49" s="42"/>
      <c r="N49" s="42"/>
      <c r="O49" s="42"/>
      <c r="P49" s="42"/>
    </row>
    <row r="50" spans="1:16" ht="15.75" outlineLevel="1">
      <c r="A50" s="32" t="s">
        <v>13</v>
      </c>
      <c r="B50" s="31">
        <v>40000</v>
      </c>
      <c r="C50" s="95" t="s">
        <v>110</v>
      </c>
      <c r="D50" s="95"/>
      <c r="E50" s="95"/>
      <c r="F50" s="3"/>
      <c r="G50" s="3"/>
      <c r="H50" s="42" t="s">
        <v>246</v>
      </c>
      <c r="I50" s="42"/>
      <c r="J50" s="42"/>
      <c r="K50" s="42"/>
      <c r="L50" s="42"/>
      <c r="M50" s="42"/>
      <c r="N50" s="42"/>
      <c r="O50" s="42"/>
      <c r="P50" s="42"/>
    </row>
    <row r="51" spans="1:16" ht="60" outlineLevel="1">
      <c r="A51" s="32" t="s">
        <v>109</v>
      </c>
      <c r="B51" s="20">
        <f>(B7+B50)/(1-B5/B8)</f>
        <v>83333.333333333328</v>
      </c>
      <c r="C51" s="90" t="str">
        <f>"(Fixné náklady + Cieľový zisk) / (1 - Variabilné náklady na 1 kus / Predajná cena výrobkov), teda ("&amp;FIXED(B7)&amp;" + "&amp;FIXED(B50)&amp;") / ( 1,00 -  "&amp;FIXED(B5)&amp;" / "&amp;FIXED(B8)&amp;"); alternatívne: vypočítaný fyzický objem výroby a predaja sa prenásobí sa predajnou cenou výrobkov"</f>
        <v>(Fixné náklady + Cieľový zisk) / (1 - Variabilné náklady na 1 kus / Predajná cena výrobkov), teda (22 500,00 + 40 000,00) / ( 1,00 -  7,50 / 30,00); alternatívne: vypočítaný fyzický objem výroby a predaja sa prenásobí sa predajnou cenou výrobkov</v>
      </c>
      <c r="D51" s="91"/>
      <c r="E51" s="91"/>
      <c r="F51" s="91"/>
      <c r="G51" s="3"/>
      <c r="H51" s="42" t="s">
        <v>226</v>
      </c>
      <c r="I51" s="42"/>
      <c r="J51" s="42"/>
      <c r="K51" s="42"/>
      <c r="L51" s="42"/>
      <c r="M51" s="42"/>
      <c r="N51" s="42"/>
      <c r="O51" s="42"/>
      <c r="P51" s="42"/>
    </row>
    <row r="52" spans="1:16" ht="15.75" outlineLevel="1">
      <c r="A52" s="98" t="s">
        <v>91</v>
      </c>
      <c r="B52" s="99"/>
      <c r="C52" s="99"/>
      <c r="D52" s="99"/>
      <c r="E52" s="99"/>
      <c r="F52" s="51"/>
      <c r="G52" s="51"/>
      <c r="H52" s="42" t="s">
        <v>246</v>
      </c>
      <c r="I52" s="42"/>
      <c r="J52" s="42"/>
      <c r="K52" s="42"/>
      <c r="L52" s="42"/>
      <c r="M52" s="42"/>
      <c r="N52" s="42"/>
      <c r="O52" s="42"/>
      <c r="P52" s="42"/>
    </row>
    <row r="53" spans="1:16" ht="31.5" outlineLevel="1">
      <c r="A53" s="32" t="s">
        <v>106</v>
      </c>
      <c r="B53" s="20">
        <f>B51/B8</f>
        <v>2777.7777777777778</v>
      </c>
      <c r="C53" s="90" t="str">
        <f xml:space="preserve"> "Objem požadovaných tržieb / Predajná cena výrobkov, teda "&amp;FIXED(B51)&amp;" / "&amp;FIXED(B8)</f>
        <v>Objem požadovaných tržieb / Predajná cena výrobkov, teda 83 333,33 / 30,00</v>
      </c>
      <c r="D53" s="91"/>
      <c r="E53" s="91"/>
      <c r="F53" s="91"/>
      <c r="G53" s="13"/>
      <c r="H53" s="42" t="s">
        <v>225</v>
      </c>
      <c r="I53" s="42"/>
      <c r="J53" s="42"/>
      <c r="K53" s="42"/>
      <c r="L53" s="42"/>
      <c r="M53" s="42"/>
      <c r="N53" s="42"/>
      <c r="O53" s="42"/>
      <c r="P53" s="42"/>
    </row>
    <row r="54" spans="1:16" ht="31.5" outlineLevel="1">
      <c r="A54" s="32" t="s">
        <v>95</v>
      </c>
      <c r="B54" s="20">
        <f>B5*B53</f>
        <v>20833.333333333332</v>
      </c>
      <c r="C54" s="90" t="str">
        <f>"Variabilné náklady na 1 kus x Objem výroby a predaja zodpovedajúci požadovaným tržbám, teda "&amp;FIXED(B5)&amp;" x "&amp;FIXED(B53)</f>
        <v>Variabilné náklady na 1 kus x Objem výroby a predaja zodpovedajúci požadovaným tržbám, teda 7,50 x 2 777,78</v>
      </c>
      <c r="D54" s="91"/>
      <c r="E54" s="91"/>
      <c r="F54" s="91"/>
      <c r="G54" s="13"/>
      <c r="H54" s="42" t="s">
        <v>225</v>
      </c>
      <c r="I54" s="42"/>
      <c r="J54" s="42"/>
      <c r="K54" s="42"/>
      <c r="L54" s="42"/>
      <c r="M54" s="42"/>
      <c r="N54" s="42"/>
      <c r="O54" s="42"/>
      <c r="P54" s="42"/>
    </row>
    <row r="55" spans="1:16" ht="31.5" outlineLevel="1">
      <c r="A55" s="32" t="s">
        <v>96</v>
      </c>
      <c r="B55" s="20">
        <f>B54+B7</f>
        <v>43333.333333333328</v>
      </c>
      <c r="C55" s="90" t="str">
        <f>"Celkové variabilné náklady pri objeme výroby a predaja zodpovedajúcom požadovaným tržbám + Fixné náklady, teda "&amp;FIXED(B54)&amp;" + "&amp;FIXED(B7)</f>
        <v>Celkové variabilné náklady pri objeme výroby a predaja zodpovedajúcom požadovaným tržbám + Fixné náklady, teda 20 833,33 + 22 500,00</v>
      </c>
      <c r="D55" s="91"/>
      <c r="E55" s="91"/>
      <c r="F55" s="91"/>
      <c r="G55" s="3"/>
      <c r="H55" s="42" t="s">
        <v>225</v>
      </c>
      <c r="I55" s="42"/>
      <c r="J55" s="42"/>
      <c r="K55" s="42"/>
      <c r="L55" s="42"/>
      <c r="M55" s="42"/>
      <c r="N55" s="42"/>
      <c r="O55" s="42"/>
      <c r="P55" s="42"/>
    </row>
    <row r="56" spans="1:16" ht="30" outlineLevel="1">
      <c r="A56" s="32" t="s">
        <v>97</v>
      </c>
      <c r="B56" s="20">
        <f>B51-B55</f>
        <v>40000</v>
      </c>
      <c r="C56" s="90" t="str">
        <f>"Objem požadovaných tržieb - Celkové náklady pri danom objeme výroby a predaja {ak je výsledok kladný}, teda "&amp;FIXED(B51)&amp;" - "&amp;FIXED(B55)</f>
        <v>Objem požadovaných tržieb - Celkové náklady pri danom objeme výroby a predaja {ak je výsledok kladný}, teda 83 333,33 - 43 333,33</v>
      </c>
      <c r="D56" s="91"/>
      <c r="E56" s="91"/>
      <c r="F56" s="91"/>
      <c r="G56" s="3"/>
      <c r="H56" s="42" t="s">
        <v>225</v>
      </c>
      <c r="I56" s="42"/>
      <c r="J56" s="42"/>
      <c r="K56" s="42"/>
      <c r="L56" s="42"/>
      <c r="M56" s="42"/>
      <c r="N56" s="42"/>
      <c r="O56" s="42"/>
      <c r="P56" s="42"/>
    </row>
    <row r="57" spans="1:16">
      <c r="A57" s="42"/>
      <c r="B57" s="42"/>
      <c r="C57" s="42"/>
      <c r="D57" s="42"/>
      <c r="E57" s="42"/>
      <c r="F57" s="42"/>
      <c r="G57" s="42"/>
      <c r="H57" s="42" t="s">
        <v>246</v>
      </c>
      <c r="I57" s="42"/>
      <c r="J57" s="42"/>
      <c r="K57" s="42"/>
      <c r="L57" s="42"/>
      <c r="M57" s="42"/>
      <c r="N57" s="42"/>
      <c r="O57" s="42"/>
      <c r="P57" s="42"/>
    </row>
    <row r="58" spans="1:16" ht="15.75" customHeight="1">
      <c r="A58" s="94" t="s">
        <v>25</v>
      </c>
      <c r="B58" s="94"/>
      <c r="C58" s="94"/>
      <c r="D58" s="94"/>
      <c r="E58" s="94"/>
      <c r="F58" s="94"/>
      <c r="G58" s="55"/>
      <c r="H58" s="42" t="s">
        <v>246</v>
      </c>
      <c r="I58" s="42"/>
      <c r="J58" s="42"/>
      <c r="K58" s="42"/>
      <c r="L58" s="42"/>
      <c r="M58" s="42"/>
      <c r="N58" s="42"/>
      <c r="O58" s="42"/>
      <c r="P58" s="42"/>
    </row>
    <row r="59" spans="1:16" ht="30" outlineLevel="1">
      <c r="A59" s="32" t="s">
        <v>22</v>
      </c>
      <c r="B59" s="64">
        <v>0.15</v>
      </c>
      <c r="C59" s="90" t="str">
        <f>"Je potrebné zadať; pri daných hodnotách predajnej ceny, variabilných a fixných nákladov musí byť cieľová rentabilita tržieb nižšia než "&amp;(1-$B$5/$B$8)*100&amp;" %"</f>
        <v>Je potrebné zadať; pri daných hodnotách predajnej ceny, variabilných a fixných nákladov musí byť cieľová rentabilita tržieb nižšia než 75 %</v>
      </c>
      <c r="D59" s="95"/>
      <c r="E59" s="95"/>
      <c r="F59" s="95"/>
      <c r="G59" s="3"/>
      <c r="H59" s="42" t="s">
        <v>225</v>
      </c>
      <c r="I59" s="42"/>
      <c r="J59" s="42"/>
      <c r="K59" s="42"/>
      <c r="L59" s="42"/>
      <c r="M59" s="42"/>
      <c r="N59" s="42"/>
      <c r="O59" s="42"/>
      <c r="P59" s="42"/>
    </row>
    <row r="60" spans="1:16" ht="30" outlineLevel="1">
      <c r="A60" s="32" t="s">
        <v>29</v>
      </c>
      <c r="B60" s="20">
        <f>B7/(1-B5/B8-B59)</f>
        <v>37500</v>
      </c>
      <c r="C60" s="90" t="str">
        <f>" Fixné náklady / (1- Predajná cena výrobkov / Variabilné náklady na 1 kus - Cieľová rentabilita tržieb / 100 %), teda "&amp;FIXED(B7)&amp;" / ("&amp;FIXED(1)&amp;" - "&amp;FIXED(B5)&amp;" / "&amp;FIXED(B8)&amp;" - "&amp;FIXED(B59)&amp;")"</f>
        <v xml:space="preserve"> Fixné náklady / (1- Predajná cena výrobkov / Variabilné náklady na 1 kus - Cieľová rentabilita tržieb / 100 %), teda 22 500,00 / (1,00 - 7,50 / 30,00 - 0,15)</v>
      </c>
      <c r="D60" s="91"/>
      <c r="E60" s="91"/>
      <c r="F60" s="91"/>
      <c r="G60" s="3"/>
      <c r="H60" s="42" t="s">
        <v>225</v>
      </c>
      <c r="I60" s="42"/>
      <c r="J60" s="42"/>
      <c r="K60" s="42"/>
      <c r="L60" s="42"/>
      <c r="M60" s="42"/>
      <c r="N60" s="42"/>
      <c r="O60" s="42"/>
      <c r="P60" s="42"/>
    </row>
    <row r="61" spans="1:16" ht="15.75" outlineLevel="1">
      <c r="A61" s="92" t="s">
        <v>91</v>
      </c>
      <c r="B61" s="93"/>
      <c r="C61" s="93"/>
      <c r="D61" s="93"/>
      <c r="E61" s="93"/>
      <c r="F61" s="93"/>
      <c r="G61" s="51"/>
      <c r="H61" s="42" t="s">
        <v>246</v>
      </c>
      <c r="I61" s="42"/>
      <c r="J61" s="42"/>
      <c r="K61" s="42"/>
      <c r="L61" s="42"/>
      <c r="M61" s="42"/>
      <c r="N61" s="42"/>
      <c r="O61" s="42"/>
      <c r="P61" s="42"/>
    </row>
    <row r="62" spans="1:16" ht="31.5" outlineLevel="1">
      <c r="A62" s="32" t="s">
        <v>104</v>
      </c>
      <c r="B62" s="20">
        <f>B60/B8</f>
        <v>1250</v>
      </c>
      <c r="C62" s="90" t="str">
        <f>"Objem tržieb / Predajná cena výrobkov, teda "&amp;FIXED(B60)&amp;" / "&amp;FIXED(B8)&amp;"; v reále by bolo potrebné objem výroby zaokrúhliť smerom nahor na najbližšie celé číslo"</f>
        <v>Objem tržieb / Predajná cena výrobkov, teda 37 500,00 / 30,00; v reále by bolo potrebné objem výroby zaokrúhliť smerom nahor na najbližšie celé číslo</v>
      </c>
      <c r="D62" s="91"/>
      <c r="E62" s="91"/>
      <c r="F62" s="91"/>
      <c r="G62" s="13"/>
      <c r="H62" s="42" t="s">
        <v>225</v>
      </c>
      <c r="I62" s="42"/>
      <c r="J62" s="42"/>
      <c r="K62" s="42"/>
      <c r="L62" s="42"/>
      <c r="M62" s="42"/>
      <c r="N62" s="42"/>
      <c r="O62" s="42"/>
      <c r="P62" s="42"/>
    </row>
    <row r="63" spans="1:16" ht="31.5" outlineLevel="1">
      <c r="A63" s="32" t="s">
        <v>47</v>
      </c>
      <c r="B63" s="20">
        <f>B62*B5</f>
        <v>9375</v>
      </c>
      <c r="C63" s="90" t="str">
        <f>"Variabilné náklady na 1 kus x Objem výroby a predaja zodpovedajúci objemu tržieb, teda "&amp;FIXED(B5)&amp;" x "&amp;FIXED(B62)</f>
        <v>Variabilné náklady na 1 kus x Objem výroby a predaja zodpovedajúci objemu tržieb, teda 7,50 x 1 250,00</v>
      </c>
      <c r="D63" s="91"/>
      <c r="E63" s="91"/>
      <c r="F63" s="91"/>
      <c r="G63" s="13"/>
      <c r="H63" s="42" t="s">
        <v>225</v>
      </c>
      <c r="I63" s="42"/>
      <c r="J63" s="42"/>
      <c r="K63" s="42"/>
      <c r="L63" s="42"/>
      <c r="M63" s="42"/>
      <c r="N63" s="42"/>
      <c r="O63" s="42"/>
      <c r="P63" s="42"/>
    </row>
    <row r="64" spans="1:16" ht="15.75" customHeight="1" outlineLevel="1">
      <c r="A64" s="32" t="s">
        <v>105</v>
      </c>
      <c r="B64" s="20">
        <f>B63+B7</f>
        <v>31875</v>
      </c>
      <c r="C64" s="90" t="str">
        <f>"Celkové variabilné náklady + Fixné náklady, teda "&amp;FIXED(B63)&amp;" + "&amp;FIXED(B7)</f>
        <v>Celkové variabilné náklady + Fixné náklady, teda 9 375,00 + 22 500,00</v>
      </c>
      <c r="D64" s="91"/>
      <c r="E64" s="91"/>
      <c r="F64" s="91"/>
      <c r="G64" s="3"/>
      <c r="H64" s="42" t="s">
        <v>246</v>
      </c>
      <c r="I64" s="42"/>
      <c r="J64" s="42"/>
      <c r="K64" s="42"/>
      <c r="L64" s="42"/>
      <c r="M64" s="42"/>
      <c r="N64" s="42"/>
      <c r="O64" s="42"/>
      <c r="P64" s="42"/>
    </row>
    <row r="65" spans="1:16" ht="30" customHeight="1" outlineLevel="1">
      <c r="A65" s="32" t="s">
        <v>103</v>
      </c>
      <c r="B65" s="20">
        <f>IF(B60-B64&gt;=0,B60-B64,0)</f>
        <v>5625</v>
      </c>
      <c r="C65" s="90" t="str">
        <f>"Tržby pri danom objeme tržieb - Celkové náklady pri danom objeme tržieb {ak je výsledok kladný}, teda "&amp;FIXED(B60)&amp;" - "&amp;FIXED(B64)</f>
        <v>Tržby pri danom objeme tržieb - Celkové náklady pri danom objeme tržieb {ak je výsledok kladný}, teda 37 500,00 - 31 875,00</v>
      </c>
      <c r="D65" s="91"/>
      <c r="E65" s="91"/>
      <c r="F65" s="91"/>
      <c r="G65" s="3"/>
      <c r="H65" s="42" t="s">
        <v>225</v>
      </c>
      <c r="I65" s="42"/>
      <c r="J65" s="42"/>
      <c r="K65" s="42"/>
      <c r="L65" s="42"/>
      <c r="M65" s="42"/>
      <c r="N65" s="42"/>
      <c r="O65" s="42"/>
      <c r="P65" s="42"/>
    </row>
    <row r="66" spans="1:16" ht="30" customHeight="1" outlineLevel="1">
      <c r="A66" s="32" t="s">
        <v>101</v>
      </c>
      <c r="B66" s="65">
        <f>IF(B60-B64&lt;0,B60-B64,0)</f>
        <v>0</v>
      </c>
      <c r="C66" s="90" t="s">
        <v>26</v>
      </c>
      <c r="D66" s="91"/>
      <c r="E66" s="91"/>
      <c r="F66" s="91"/>
      <c r="G66" s="3"/>
      <c r="H66" s="42" t="s">
        <v>225</v>
      </c>
      <c r="I66" s="42"/>
      <c r="J66" s="42"/>
      <c r="K66" s="42"/>
      <c r="L66" s="42"/>
      <c r="M66" s="42"/>
      <c r="N66" s="42"/>
      <c r="O66" s="42"/>
      <c r="P66" s="42"/>
    </row>
    <row r="67" spans="1:16" ht="31.5" customHeight="1" outlineLevel="1">
      <c r="A67" s="32" t="s">
        <v>102</v>
      </c>
      <c r="B67" s="62">
        <f>B65/B60</f>
        <v>0.15</v>
      </c>
      <c r="C67" s="90" t="str">
        <f>"Zisk pri danom objeme tržieb / Tržby pri danom objeme tržieb, teda "&amp;FIXED(B65)&amp;" / "&amp;FIXED(B60)</f>
        <v>Zisk pri danom objeme tržieb / Tržby pri danom objeme tržieb, teda 5 625,00 / 37 500,00</v>
      </c>
      <c r="D67" s="91"/>
      <c r="E67" s="91"/>
      <c r="F67" s="91"/>
      <c r="G67" s="3"/>
      <c r="H67" s="42" t="s">
        <v>225</v>
      </c>
      <c r="I67" s="42"/>
      <c r="J67" s="42"/>
      <c r="K67" s="42"/>
      <c r="L67" s="42"/>
      <c r="M67" s="42"/>
      <c r="N67" s="42"/>
      <c r="O67" s="42"/>
      <c r="P67" s="42"/>
    </row>
    <row r="68" spans="1:16">
      <c r="A68" s="42"/>
      <c r="B68" s="42"/>
      <c r="C68" s="42"/>
      <c r="D68" s="42"/>
      <c r="E68" s="42"/>
      <c r="F68" s="42"/>
      <c r="G68" s="42"/>
      <c r="H68" s="42" t="s">
        <v>246</v>
      </c>
      <c r="I68" s="42"/>
      <c r="J68" s="42"/>
      <c r="K68" s="42"/>
      <c r="L68" s="42"/>
      <c r="M68" s="42"/>
      <c r="N68" s="42"/>
      <c r="O68" s="42"/>
      <c r="P68" s="42"/>
    </row>
    <row r="69" spans="1:16" ht="15.75" customHeight="1">
      <c r="A69" s="94" t="s">
        <v>251</v>
      </c>
      <c r="B69" s="94"/>
      <c r="C69" s="94"/>
      <c r="D69" s="94"/>
      <c r="E69" s="94"/>
      <c r="F69" s="94"/>
      <c r="G69" s="55"/>
      <c r="H69" s="42" t="s">
        <v>246</v>
      </c>
      <c r="I69" s="42"/>
      <c r="J69" s="42"/>
      <c r="K69" s="42"/>
      <c r="L69" s="42"/>
      <c r="M69" s="42"/>
      <c r="N69" s="42"/>
      <c r="O69" s="42"/>
      <c r="P69" s="42"/>
    </row>
    <row r="70" spans="1:16" ht="30" outlineLevel="1">
      <c r="A70" s="32" t="s">
        <v>34</v>
      </c>
      <c r="B70" s="31">
        <v>140000</v>
      </c>
      <c r="C70" s="90" t="s">
        <v>112</v>
      </c>
      <c r="D70" s="91"/>
      <c r="E70" s="91"/>
      <c r="F70" s="91"/>
      <c r="G70" s="3"/>
      <c r="H70" s="42" t="s">
        <v>225</v>
      </c>
      <c r="I70" s="42"/>
      <c r="J70" s="42"/>
      <c r="K70" s="42"/>
      <c r="L70" s="42"/>
      <c r="M70" s="42"/>
      <c r="N70" s="42"/>
      <c r="O70" s="42"/>
      <c r="P70" s="42"/>
    </row>
    <row r="71" spans="1:16" ht="30" customHeight="1" outlineLevel="1">
      <c r="A71" s="32" t="s">
        <v>28</v>
      </c>
      <c r="B71" s="69">
        <f>B7/(1-B5/B8)</f>
        <v>30000</v>
      </c>
      <c r="C71" s="90" t="str">
        <f>"Fixné náklady / (1 - variabilné náklady na 1 kus / predajná cena výrobkov), teda"&amp;FIXED(B7)&amp;" / ("&amp;FIXED(1)&amp;" - "&amp;FIXED(B5)&amp;" / "&amp;FIXED(B8)&amp;")"</f>
        <v>Fixné náklady / (1 - variabilné náklady na 1 kus / predajná cena výrobkov), teda22 500,00 / (1,00 - 7,50 / 30,00)</v>
      </c>
      <c r="D71" s="91"/>
      <c r="E71" s="91"/>
      <c r="F71" s="91"/>
      <c r="G71" s="3"/>
      <c r="H71" s="42" t="s">
        <v>225</v>
      </c>
      <c r="I71" s="42"/>
      <c r="J71" s="42"/>
      <c r="K71" s="42"/>
      <c r="L71" s="42"/>
      <c r="M71" s="42"/>
      <c r="N71" s="42"/>
      <c r="O71" s="42"/>
      <c r="P71" s="42"/>
    </row>
    <row r="72" spans="1:16" ht="15.75" customHeight="1" outlineLevel="1">
      <c r="A72" s="32" t="s">
        <v>33</v>
      </c>
      <c r="B72" s="69">
        <f>B70-B71</f>
        <v>110000</v>
      </c>
      <c r="C72" s="90" t="str">
        <f>"Dosahované tržby - Bod zvratu, teda "&amp;FIXED(B70)&amp;" - "&amp;FIXED(B71)</f>
        <v>Dosahované tržby - Bod zvratu, teda 140 000,00 - 30 000,00</v>
      </c>
      <c r="D72" s="91"/>
      <c r="E72" s="91"/>
      <c r="F72" s="91"/>
      <c r="G72" s="3"/>
      <c r="H72" s="42" t="s">
        <v>246</v>
      </c>
      <c r="I72" s="42"/>
      <c r="J72" s="42"/>
      <c r="K72" s="42"/>
      <c r="L72" s="42"/>
      <c r="M72" s="42"/>
      <c r="N72" s="42"/>
      <c r="O72" s="42"/>
      <c r="P72" s="42"/>
    </row>
    <row r="73" spans="1:16">
      <c r="A73" s="42"/>
      <c r="B73" s="42"/>
      <c r="C73" s="42"/>
      <c r="D73" s="42"/>
      <c r="E73" s="42"/>
      <c r="F73" s="42"/>
      <c r="G73" s="42"/>
      <c r="H73" s="42" t="s">
        <v>246</v>
      </c>
      <c r="I73" s="42"/>
      <c r="J73" s="42"/>
      <c r="K73" s="42"/>
      <c r="L73" s="42"/>
      <c r="M73" s="42"/>
      <c r="N73" s="42"/>
      <c r="O73" s="42"/>
      <c r="P73" s="42"/>
    </row>
    <row r="74" spans="1:16" ht="15.75" customHeight="1">
      <c r="A74" s="94" t="s">
        <v>35</v>
      </c>
      <c r="B74" s="94"/>
      <c r="C74" s="94"/>
      <c r="D74" s="94"/>
      <c r="E74" s="94"/>
      <c r="F74" s="94"/>
      <c r="G74" s="55"/>
      <c r="H74" s="42" t="s">
        <v>246</v>
      </c>
      <c r="I74" s="42"/>
      <c r="J74" s="42"/>
      <c r="K74" s="42"/>
      <c r="L74" s="42"/>
      <c r="M74" s="42"/>
      <c r="N74" s="42"/>
      <c r="O74" s="42"/>
      <c r="P74" s="42"/>
    </row>
    <row r="75" spans="1:16" ht="15.75" customHeight="1" outlineLevel="1">
      <c r="A75" s="32" t="s">
        <v>34</v>
      </c>
      <c r="B75" s="69">
        <f>B70</f>
        <v>140000</v>
      </c>
      <c r="C75" s="90" t="s">
        <v>113</v>
      </c>
      <c r="D75" s="91"/>
      <c r="E75" s="91"/>
      <c r="F75" s="91"/>
      <c r="G75" s="3"/>
      <c r="H75" s="42" t="s">
        <v>246</v>
      </c>
      <c r="I75" s="42"/>
      <c r="J75" s="42"/>
      <c r="K75" s="42"/>
      <c r="L75" s="42"/>
      <c r="M75" s="42"/>
      <c r="N75" s="42"/>
      <c r="O75" s="42"/>
      <c r="P75" s="42"/>
    </row>
    <row r="76" spans="1:16" ht="15.75" customHeight="1" outlineLevel="1">
      <c r="A76" s="32" t="s">
        <v>28</v>
      </c>
      <c r="B76" s="69">
        <f>B71</f>
        <v>30000</v>
      </c>
      <c r="C76" s="90" t="s">
        <v>113</v>
      </c>
      <c r="D76" s="91"/>
      <c r="E76" s="91"/>
      <c r="F76" s="91"/>
      <c r="G76" s="3"/>
      <c r="H76" s="42" t="s">
        <v>246</v>
      </c>
      <c r="I76" s="42"/>
      <c r="J76" s="42"/>
      <c r="K76" s="42"/>
      <c r="L76" s="42"/>
      <c r="M76" s="42"/>
      <c r="N76" s="42"/>
      <c r="O76" s="42"/>
      <c r="P76" s="42"/>
    </row>
    <row r="77" spans="1:16" ht="15.75" outlineLevel="1">
      <c r="A77" s="32" t="s">
        <v>33</v>
      </c>
      <c r="B77" s="69">
        <f>B72</f>
        <v>110000</v>
      </c>
      <c r="C77" s="90" t="s">
        <v>113</v>
      </c>
      <c r="D77" s="91"/>
      <c r="E77" s="91"/>
      <c r="F77" s="91"/>
      <c r="G77" s="3"/>
      <c r="H77" s="42" t="s">
        <v>246</v>
      </c>
      <c r="I77" s="42"/>
      <c r="J77" s="42"/>
      <c r="K77" s="42"/>
      <c r="L77" s="42"/>
      <c r="M77" s="42"/>
      <c r="N77" s="42"/>
      <c r="O77" s="42"/>
      <c r="P77" s="42"/>
    </row>
    <row r="78" spans="1:16" ht="31.5" outlineLevel="1">
      <c r="A78" s="32" t="s">
        <v>37</v>
      </c>
      <c r="B78" s="62">
        <f>B72/B75</f>
        <v>0.7857142857142857</v>
      </c>
      <c r="C78" s="90" t="str">
        <f>"Bezpečnostné rozpätie / Dosahované tržby, teda "&amp;FIXED(B77)&amp;" / "&amp;FIXED(B75)</f>
        <v>Bezpečnostné rozpätie / Dosahované tržby, teda 110 000,00 / 140 000,00</v>
      </c>
      <c r="D78" s="91"/>
      <c r="E78" s="91"/>
      <c r="F78" s="91"/>
      <c r="G78" s="3"/>
      <c r="H78" s="42" t="s">
        <v>246</v>
      </c>
      <c r="I78" s="42"/>
      <c r="J78" s="42"/>
      <c r="K78" s="42"/>
      <c r="L78" s="42"/>
      <c r="M78" s="42"/>
      <c r="N78" s="42"/>
      <c r="O78" s="42"/>
      <c r="P78" s="42"/>
    </row>
    <row r="79" spans="1:16" ht="15.75" outlineLevel="1">
      <c r="A79" s="92" t="s">
        <v>91</v>
      </c>
      <c r="B79" s="93"/>
      <c r="C79" s="93"/>
      <c r="D79" s="93"/>
      <c r="E79" s="93"/>
      <c r="F79" s="93"/>
      <c r="G79" s="51"/>
      <c r="H79" s="42" t="s">
        <v>246</v>
      </c>
      <c r="I79" s="42"/>
      <c r="J79" s="42"/>
      <c r="K79" s="42"/>
      <c r="L79" s="42"/>
      <c r="M79" s="42"/>
      <c r="N79" s="42"/>
      <c r="O79" s="42"/>
      <c r="P79" s="42"/>
    </row>
    <row r="80" spans="1:16" ht="31.5" outlineLevel="1">
      <c r="A80" s="32" t="s">
        <v>37</v>
      </c>
      <c r="B80" s="62">
        <f>B78</f>
        <v>0.7857142857142857</v>
      </c>
      <c r="C80" s="90" t="s">
        <v>36</v>
      </c>
      <c r="D80" s="91"/>
      <c r="E80" s="91"/>
      <c r="F80" s="91"/>
      <c r="G80" s="3"/>
      <c r="H80" s="42" t="s">
        <v>246</v>
      </c>
      <c r="I80" s="42"/>
      <c r="J80" s="42"/>
      <c r="K80" s="42"/>
      <c r="L80" s="42"/>
      <c r="M80" s="42"/>
      <c r="N80" s="42"/>
      <c r="O80" s="42"/>
      <c r="P80" s="42"/>
    </row>
    <row r="81" spans="1:16" ht="31.5" outlineLevel="1">
      <c r="A81" s="32" t="s">
        <v>48</v>
      </c>
      <c r="B81" s="69">
        <f>B80*B75</f>
        <v>110000</v>
      </c>
      <c r="C81" s="90" t="str">
        <f>"Dosahované tržby x Rozsah, v akom môžu tržby poklesnúť, aby sa dosiahol aspoň bod zvratu / 100 %, teda "&amp;FIXED(B75)&amp;" / "&amp;FIXED(B80)</f>
        <v>Dosahované tržby x Rozsah, v akom môžu tržby poklesnúť, aby sa dosiahol aspoň bod zvratu / 100 %, teda 140 000,00 / 0,79</v>
      </c>
      <c r="D81" s="91"/>
      <c r="E81" s="91"/>
      <c r="F81" s="91"/>
      <c r="G81" s="3"/>
      <c r="H81" s="42" t="s">
        <v>246</v>
      </c>
      <c r="I81" s="42"/>
      <c r="J81" s="42"/>
      <c r="K81" s="42"/>
      <c r="L81" s="42"/>
      <c r="M81" s="42"/>
      <c r="N81" s="42"/>
      <c r="O81" s="42"/>
      <c r="P81" s="42"/>
    </row>
    <row r="82" spans="1:16">
      <c r="A82" s="42"/>
      <c r="B82" s="42"/>
      <c r="C82" s="42"/>
      <c r="D82" s="42"/>
      <c r="E82" s="42"/>
      <c r="F82" s="42"/>
      <c r="G82" s="42"/>
      <c r="H82" s="42" t="s">
        <v>246</v>
      </c>
      <c r="I82" s="42"/>
      <c r="J82" s="42"/>
      <c r="K82" s="42"/>
      <c r="L82" s="42"/>
      <c r="M82" s="42"/>
      <c r="N82" s="42"/>
      <c r="O82" s="42"/>
      <c r="P82" s="42"/>
    </row>
    <row r="83" spans="1:16" ht="15.75">
      <c r="A83" s="94" t="s">
        <v>38</v>
      </c>
      <c r="B83" s="94"/>
      <c r="C83" s="94"/>
      <c r="D83" s="94"/>
      <c r="E83" s="94"/>
      <c r="F83" s="94"/>
      <c r="G83" s="55"/>
      <c r="H83" s="42" t="s">
        <v>246</v>
      </c>
      <c r="I83" s="42"/>
      <c r="J83" s="42"/>
      <c r="K83" s="42"/>
      <c r="L83" s="42"/>
      <c r="M83" s="42"/>
      <c r="N83" s="42"/>
      <c r="O83" s="42"/>
      <c r="P83" s="42"/>
    </row>
    <row r="84" spans="1:16" ht="15.75" outlineLevel="1">
      <c r="A84" s="32" t="s">
        <v>34</v>
      </c>
      <c r="B84" s="69">
        <f>B70</f>
        <v>140000</v>
      </c>
      <c r="C84" s="90" t="s">
        <v>113</v>
      </c>
      <c r="D84" s="91"/>
      <c r="E84" s="91"/>
      <c r="F84" s="91"/>
      <c r="G84" s="3"/>
      <c r="H84" s="42" t="s">
        <v>246</v>
      </c>
      <c r="I84" s="42"/>
      <c r="J84" s="42"/>
      <c r="K84" s="42"/>
      <c r="L84" s="42"/>
      <c r="M84" s="42"/>
      <c r="N84" s="42"/>
      <c r="O84" s="42"/>
      <c r="P84" s="42"/>
    </row>
    <row r="85" spans="1:16" ht="15.75" outlineLevel="1">
      <c r="A85" s="32" t="s">
        <v>28</v>
      </c>
      <c r="B85" s="69">
        <f>B71</f>
        <v>30000</v>
      </c>
      <c r="C85" s="90" t="s">
        <v>113</v>
      </c>
      <c r="D85" s="91"/>
      <c r="E85" s="91"/>
      <c r="F85" s="91"/>
      <c r="G85" s="3"/>
      <c r="H85" s="42" t="s">
        <v>246</v>
      </c>
      <c r="I85" s="42"/>
      <c r="J85" s="42"/>
      <c r="K85" s="42"/>
      <c r="L85" s="42"/>
      <c r="M85" s="42"/>
      <c r="N85" s="42"/>
      <c r="O85" s="42"/>
      <c r="P85" s="42"/>
    </row>
    <row r="86" spans="1:16" ht="15.75" outlineLevel="1">
      <c r="A86" s="32" t="s">
        <v>33</v>
      </c>
      <c r="B86" s="69">
        <f>B81</f>
        <v>110000</v>
      </c>
      <c r="C86" s="90" t="s">
        <v>113</v>
      </c>
      <c r="D86" s="91"/>
      <c r="E86" s="91"/>
      <c r="F86" s="91"/>
      <c r="G86" s="3"/>
      <c r="H86" s="42" t="s">
        <v>246</v>
      </c>
      <c r="I86" s="42"/>
      <c r="J86" s="42"/>
      <c r="K86" s="42"/>
      <c r="L86" s="42"/>
      <c r="M86" s="42"/>
      <c r="N86" s="42"/>
      <c r="O86" s="42"/>
      <c r="P86" s="42"/>
    </row>
    <row r="87" spans="1:16" ht="15.75" outlineLevel="1">
      <c r="A87" s="32" t="s">
        <v>52</v>
      </c>
      <c r="B87" s="69">
        <f>B7</f>
        <v>22500</v>
      </c>
      <c r="C87" s="90" t="s">
        <v>39</v>
      </c>
      <c r="D87" s="91"/>
      <c r="E87" s="91"/>
      <c r="F87" s="91"/>
      <c r="G87" s="3"/>
      <c r="H87" s="42" t="s">
        <v>246</v>
      </c>
      <c r="I87" s="42"/>
      <c r="J87" s="42"/>
      <c r="K87" s="42"/>
      <c r="L87" s="42"/>
      <c r="M87" s="42"/>
      <c r="N87" s="42"/>
      <c r="O87" s="42"/>
      <c r="P87" s="42"/>
    </row>
    <row r="88" spans="1:16" ht="31.5" outlineLevel="1">
      <c r="A88" s="32" t="s">
        <v>40</v>
      </c>
      <c r="B88" s="62">
        <f>B86/B87</f>
        <v>4.8888888888888893</v>
      </c>
      <c r="C88" s="90" t="str">
        <f>"Bezpečnostné rozpätie / Fixné náklady pred nárastom, teda "&amp;FIXED(B86)&amp;" / "&amp;FIXED(B87)</f>
        <v>Bezpečnostné rozpätie / Fixné náklady pred nárastom, teda 110 000,00 / 22 500,00</v>
      </c>
      <c r="D88" s="91"/>
      <c r="E88" s="91"/>
      <c r="F88" s="91"/>
      <c r="G88" s="3"/>
      <c r="H88" s="42" t="s">
        <v>246</v>
      </c>
      <c r="I88" s="42"/>
      <c r="J88" s="42"/>
      <c r="K88" s="42"/>
      <c r="L88" s="42"/>
      <c r="M88" s="42"/>
      <c r="N88" s="42"/>
      <c r="O88" s="42"/>
      <c r="P88" s="42"/>
    </row>
    <row r="89" spans="1:16" ht="15.75" outlineLevel="1">
      <c r="A89" s="92" t="s">
        <v>91</v>
      </c>
      <c r="B89" s="93"/>
      <c r="C89" s="93"/>
      <c r="D89" s="93"/>
      <c r="E89" s="93"/>
      <c r="F89" s="93"/>
      <c r="G89" s="51"/>
      <c r="H89" s="42" t="s">
        <v>246</v>
      </c>
      <c r="I89" s="42"/>
      <c r="J89" s="42"/>
      <c r="K89" s="42"/>
      <c r="L89" s="42"/>
      <c r="M89" s="42"/>
      <c r="N89" s="42"/>
      <c r="O89" s="42"/>
      <c r="P89" s="42"/>
    </row>
    <row r="90" spans="1:16" ht="47.25" outlineLevel="1">
      <c r="A90" s="32" t="s">
        <v>41</v>
      </c>
      <c r="B90" s="62">
        <f>B88</f>
        <v>4.8888888888888893</v>
      </c>
      <c r="C90" s="90" t="s">
        <v>36</v>
      </c>
      <c r="D90" s="91"/>
      <c r="E90" s="91"/>
      <c r="F90" s="91"/>
      <c r="G90" s="3"/>
      <c r="H90" s="42" t="s">
        <v>225</v>
      </c>
      <c r="I90" s="42"/>
      <c r="J90" s="42"/>
      <c r="K90" s="42"/>
      <c r="L90" s="42"/>
      <c r="M90" s="42"/>
      <c r="N90" s="42"/>
      <c r="O90" s="42"/>
      <c r="P90" s="42"/>
    </row>
    <row r="91" spans="1:16" ht="30" outlineLevel="1">
      <c r="A91" s="32" t="s">
        <v>42</v>
      </c>
      <c r="B91" s="20">
        <f>B90*B7</f>
        <v>110000.00000000001</v>
      </c>
      <c r="C91" s="90" t="str">
        <f>"Fixné náklady pred nárastom x Rozsah, v akom môžu fixné náklady vzrásť, aby sa dosiahol aspoň bod zvratu (%) / 100 %, teda "&amp;FIXED(B87)&amp;" x "&amp;FIXED(B88)</f>
        <v>Fixné náklady pred nárastom x Rozsah, v akom môžu fixné náklady vzrásť, aby sa dosiahol aspoň bod zvratu (%) / 100 %, teda 22 500,00 x 4,89</v>
      </c>
      <c r="D91" s="91"/>
      <c r="E91" s="91"/>
      <c r="F91" s="91"/>
      <c r="G91" s="3"/>
      <c r="H91" s="42" t="s">
        <v>225</v>
      </c>
      <c r="I91" s="42"/>
      <c r="J91" s="42"/>
      <c r="K91" s="42"/>
      <c r="L91" s="42"/>
      <c r="M91" s="42"/>
      <c r="N91" s="42"/>
      <c r="O91" s="42"/>
      <c r="P91" s="42"/>
    </row>
    <row r="92" spans="1:16">
      <c r="A92" s="42"/>
      <c r="B92" s="42"/>
      <c r="C92" s="42"/>
      <c r="D92" s="42"/>
      <c r="E92" s="42"/>
      <c r="F92" s="42"/>
      <c r="G92" s="42"/>
      <c r="H92" s="42">
        <f t="shared" ref="H92:H93" si="0">C92</f>
        <v>0</v>
      </c>
      <c r="I92" s="42"/>
      <c r="J92" s="42"/>
      <c r="K92" s="42"/>
      <c r="L92" s="42"/>
      <c r="M92" s="42"/>
      <c r="N92" s="42"/>
      <c r="O92" s="42"/>
      <c r="P92" s="42"/>
    </row>
    <row r="93" spans="1:16" ht="15.75" customHeight="1">
      <c r="A93" s="94" t="s">
        <v>250</v>
      </c>
      <c r="B93" s="94"/>
      <c r="C93" s="94"/>
      <c r="D93" s="94"/>
      <c r="E93" s="94"/>
      <c r="F93" s="94"/>
      <c r="G93" s="55"/>
      <c r="H93" s="42">
        <f t="shared" si="0"/>
        <v>0</v>
      </c>
      <c r="I93" s="42"/>
      <c r="J93" s="42"/>
      <c r="K93" s="42"/>
      <c r="L93" s="42"/>
      <c r="M93" s="42"/>
      <c r="N93" s="42"/>
      <c r="O93" s="42"/>
      <c r="P93" s="42"/>
    </row>
    <row r="94" spans="1:16" ht="15.75" outlineLevel="1">
      <c r="A94" s="32" t="s">
        <v>34</v>
      </c>
      <c r="B94" s="69">
        <f>B70</f>
        <v>140000</v>
      </c>
      <c r="C94" s="90" t="s">
        <v>113</v>
      </c>
      <c r="D94" s="91"/>
      <c r="E94" s="91"/>
      <c r="F94" s="91"/>
      <c r="G94" s="3"/>
      <c r="H94" s="42" t="s">
        <v>246</v>
      </c>
      <c r="I94" s="42"/>
      <c r="J94" s="42"/>
      <c r="K94" s="42"/>
      <c r="L94" s="42"/>
      <c r="M94" s="42"/>
      <c r="N94" s="42"/>
      <c r="O94" s="42"/>
      <c r="P94" s="42"/>
    </row>
    <row r="95" spans="1:16" ht="15.75" outlineLevel="1">
      <c r="A95" s="32" t="s">
        <v>28</v>
      </c>
      <c r="B95" s="69">
        <f>B71</f>
        <v>30000</v>
      </c>
      <c r="C95" s="90" t="s">
        <v>113</v>
      </c>
      <c r="D95" s="91"/>
      <c r="E95" s="91"/>
      <c r="F95" s="91"/>
      <c r="G95" s="3"/>
      <c r="H95" s="42" t="s">
        <v>246</v>
      </c>
      <c r="I95" s="42"/>
      <c r="J95" s="42"/>
      <c r="K95" s="42"/>
      <c r="L95" s="42"/>
      <c r="M95" s="42"/>
      <c r="N95" s="42"/>
      <c r="O95" s="42"/>
      <c r="P95" s="42"/>
    </row>
    <row r="96" spans="1:16" ht="15.75" outlineLevel="1">
      <c r="A96" s="32" t="s">
        <v>33</v>
      </c>
      <c r="B96" s="69">
        <f>B91</f>
        <v>110000.00000000001</v>
      </c>
      <c r="C96" s="90" t="s">
        <v>113</v>
      </c>
      <c r="D96" s="91"/>
      <c r="E96" s="91"/>
      <c r="F96" s="91"/>
      <c r="G96" s="3"/>
      <c r="H96" s="42" t="s">
        <v>246</v>
      </c>
      <c r="I96" s="42"/>
      <c r="J96" s="42"/>
      <c r="K96" s="42"/>
      <c r="L96" s="42"/>
      <c r="M96" s="42"/>
      <c r="N96" s="42"/>
      <c r="O96" s="42"/>
      <c r="P96" s="42"/>
    </row>
    <row r="97" spans="1:16" ht="31.5" outlineLevel="1">
      <c r="A97" s="32" t="s">
        <v>51</v>
      </c>
      <c r="B97" s="69">
        <f>B5</f>
        <v>7.5</v>
      </c>
      <c r="C97" s="90" t="s">
        <v>39</v>
      </c>
      <c r="D97" s="91"/>
      <c r="E97" s="91"/>
      <c r="F97" s="91"/>
      <c r="G97" s="3"/>
      <c r="H97" s="42" t="s">
        <v>246</v>
      </c>
      <c r="I97" s="42"/>
      <c r="J97" s="42"/>
      <c r="K97" s="42"/>
      <c r="L97" s="42"/>
      <c r="M97" s="42"/>
      <c r="N97" s="42"/>
      <c r="O97" s="42"/>
      <c r="P97" s="42"/>
    </row>
    <row r="98" spans="1:16" ht="30" outlineLevel="1">
      <c r="A98" s="32" t="s">
        <v>49</v>
      </c>
      <c r="B98" s="69">
        <f>B75/B8*B97</f>
        <v>35000</v>
      </c>
      <c r="C98" s="90" t="str">
        <f>"Dosahované tržby / Predajná cena x Variabilné náklady na jednotku, teda "&amp;FIXED(B94)&amp;" / "&amp;FIXED(B8)&amp;" x "&amp;FIXED(B5)</f>
        <v>Dosahované tržby / Predajná cena x Variabilné náklady na jednotku, teda 140 000,00 / 30,00 x 7,50</v>
      </c>
      <c r="D98" s="91"/>
      <c r="E98" s="91"/>
      <c r="F98" s="91"/>
      <c r="G98" s="13"/>
      <c r="H98" s="42" t="s">
        <v>225</v>
      </c>
      <c r="I98" s="42"/>
      <c r="J98" s="42"/>
      <c r="K98" s="42"/>
      <c r="L98" s="42"/>
      <c r="M98" s="42"/>
      <c r="N98" s="42"/>
      <c r="O98" s="42"/>
      <c r="P98" s="42"/>
    </row>
    <row r="99" spans="1:16" ht="47.25" outlineLevel="1">
      <c r="A99" s="32" t="s">
        <v>50</v>
      </c>
      <c r="B99" s="62">
        <f>B96/B98</f>
        <v>3.1428571428571432</v>
      </c>
      <c r="C99" s="90" t="str">
        <f>"Bezpečnostné rozpätie / Variabilné náklady pred nárastom, teda "&amp;FIXED(B96)&amp;" / "&amp;FIXED(B98)</f>
        <v>Bezpečnostné rozpätie / Variabilné náklady pred nárastom, teda 110 000,00 / 35 000,00</v>
      </c>
      <c r="D99" s="91"/>
      <c r="E99" s="91"/>
      <c r="F99" s="91"/>
      <c r="G99" s="3"/>
      <c r="H99" s="42" t="s">
        <v>246</v>
      </c>
      <c r="I99" s="42"/>
      <c r="J99" s="42"/>
      <c r="K99" s="42"/>
      <c r="L99" s="42"/>
      <c r="M99" s="42"/>
      <c r="N99" s="42"/>
      <c r="O99" s="42"/>
      <c r="P99" s="42"/>
    </row>
    <row r="100" spans="1:16" ht="15.75" outlineLevel="1">
      <c r="A100" s="92" t="s">
        <v>91</v>
      </c>
      <c r="B100" s="93"/>
      <c r="C100" s="93"/>
      <c r="D100" s="93"/>
      <c r="E100" s="93"/>
      <c r="F100" s="93"/>
      <c r="G100" s="51"/>
      <c r="H100" s="42" t="s">
        <v>246</v>
      </c>
      <c r="I100" s="42"/>
      <c r="J100" s="42"/>
      <c r="K100" s="42"/>
      <c r="L100" s="42"/>
      <c r="M100" s="42"/>
      <c r="N100" s="42"/>
      <c r="O100" s="42"/>
      <c r="P100" s="42"/>
    </row>
    <row r="101" spans="1:16" ht="47.25" outlineLevel="1">
      <c r="A101" s="32" t="s">
        <v>53</v>
      </c>
      <c r="B101" s="62">
        <f>B99</f>
        <v>3.1428571428571432</v>
      </c>
      <c r="C101" s="90" t="s">
        <v>36</v>
      </c>
      <c r="D101" s="91"/>
      <c r="E101" s="91"/>
      <c r="F101" s="91"/>
      <c r="G101" s="3"/>
      <c r="H101" s="42" t="s">
        <v>246</v>
      </c>
      <c r="I101" s="42"/>
      <c r="J101" s="42"/>
      <c r="K101" s="42"/>
      <c r="L101" s="42"/>
      <c r="M101" s="42"/>
      <c r="N101" s="42"/>
      <c r="O101" s="42"/>
      <c r="P101" s="42"/>
    </row>
    <row r="102" spans="1:16" ht="31.5" outlineLevel="1">
      <c r="A102" s="32" t="s">
        <v>111</v>
      </c>
      <c r="B102" s="69">
        <f>B101*B98</f>
        <v>110000.00000000001</v>
      </c>
      <c r="C102" s="90" t="str">
        <f>"Variabilné náklady pred nárastom x Rozsah, v akom môžu vzrásť variabilné náklady na jednotku, aby sa dosiahol aspoň bod zvratu (%), teda "&amp;FIXED(B98)&amp;" x "&amp;FIXED(B101)</f>
        <v>Variabilné náklady pred nárastom x Rozsah, v akom môžu vzrásť variabilné náklady na jednotku, aby sa dosiahol aspoň bod zvratu (%), teda 35 000,00 x 3,14</v>
      </c>
      <c r="D102" s="91"/>
      <c r="E102" s="91"/>
      <c r="F102" s="91"/>
      <c r="G102" s="3"/>
      <c r="H102" s="42" t="s">
        <v>225</v>
      </c>
      <c r="I102" s="42"/>
      <c r="J102" s="42"/>
      <c r="K102" s="42"/>
      <c r="L102" s="42"/>
      <c r="M102" s="42"/>
      <c r="N102" s="42"/>
      <c r="O102" s="42"/>
      <c r="P102" s="42"/>
    </row>
    <row r="103" spans="1:16">
      <c r="A103" s="42"/>
      <c r="B103" s="42"/>
      <c r="C103" s="42"/>
      <c r="D103" s="42"/>
      <c r="E103" s="42"/>
      <c r="F103" s="42"/>
      <c r="G103" s="42"/>
      <c r="H103" s="42" t="s">
        <v>246</v>
      </c>
      <c r="I103" s="42"/>
      <c r="J103" s="42"/>
      <c r="K103" s="42"/>
      <c r="L103" s="42"/>
      <c r="M103" s="42"/>
      <c r="N103" s="42"/>
      <c r="O103" s="42"/>
      <c r="P103" s="42"/>
    </row>
    <row r="104" spans="1:16" ht="15.75">
      <c r="A104" s="106" t="s">
        <v>248</v>
      </c>
      <c r="B104" s="106"/>
      <c r="C104" s="106"/>
      <c r="D104" s="106"/>
      <c r="E104" s="106"/>
      <c r="F104" s="106"/>
      <c r="G104" s="58"/>
      <c r="H104" s="58" t="s">
        <v>246</v>
      </c>
      <c r="I104" s="58"/>
      <c r="J104" s="58"/>
      <c r="K104" s="58"/>
      <c r="L104" s="58"/>
      <c r="M104" s="58"/>
      <c r="N104" s="58"/>
      <c r="O104" s="58"/>
      <c r="P104" s="58"/>
    </row>
    <row r="105" spans="1:16" ht="15.75">
      <c r="A105" s="52"/>
      <c r="B105" s="108" t="s">
        <v>224</v>
      </c>
      <c r="C105" s="108"/>
      <c r="D105" s="107" t="s">
        <v>223</v>
      </c>
      <c r="E105" s="107"/>
      <c r="F105" s="107" t="s">
        <v>230</v>
      </c>
      <c r="G105" s="38"/>
      <c r="H105" s="57" t="s">
        <v>246</v>
      </c>
      <c r="I105" s="16"/>
      <c r="J105" s="16"/>
      <c r="K105" s="16"/>
      <c r="L105" s="16"/>
      <c r="M105" s="16"/>
      <c r="N105" s="16"/>
      <c r="O105" s="16"/>
      <c r="P105" s="16"/>
    </row>
    <row r="106" spans="1:16" ht="15.75">
      <c r="A106" s="48"/>
      <c r="B106" s="4">
        <v>1</v>
      </c>
      <c r="C106" s="4">
        <v>2</v>
      </c>
      <c r="D106" s="107"/>
      <c r="E106" s="107"/>
      <c r="F106" s="107"/>
      <c r="G106" s="38"/>
      <c r="H106" s="38" t="s">
        <v>246</v>
      </c>
      <c r="I106" s="16"/>
      <c r="J106" s="16"/>
      <c r="K106" s="16"/>
      <c r="L106" s="16"/>
      <c r="M106" s="16"/>
      <c r="N106" s="16"/>
      <c r="O106" s="16"/>
      <c r="P106" s="16"/>
    </row>
    <row r="107" spans="1:16" ht="30">
      <c r="A107" s="48" t="s">
        <v>227</v>
      </c>
      <c r="B107" s="47">
        <v>300</v>
      </c>
      <c r="C107" s="47">
        <v>100</v>
      </c>
      <c r="D107" s="109">
        <f>(C107-B107)/B107</f>
        <v>-0.66666666666666663</v>
      </c>
      <c r="E107" s="109"/>
      <c r="F107" s="103" t="str">
        <f>"Koeficient elasticity: "&amp;D107/D108&amp;"
Ide o náklady: "&amp;UPPER(IF(D107/D108=0,"fixné",IF(D107/D108&gt;1,"variabilné, nadproporcionálne (a teda progresívne)",IF(D107/D108&lt;0,"inverzné (a teda regresívne)",IF(D107/D108=1,"proporcionálne (a teda lineárne)","podproporcionálne (a teda degresívne)")))))</f>
        <v>Koeficient elasticity: 2,66666666666667
Ide o náklady: VARIABILNÉ, NADPROPORCIONÁLNE (A TEDA PROGRESÍVNE)</v>
      </c>
      <c r="G107" s="56"/>
      <c r="H107" s="61" t="s">
        <v>225</v>
      </c>
      <c r="I107" s="16"/>
      <c r="J107" s="16"/>
      <c r="K107" s="16"/>
      <c r="L107" s="16"/>
      <c r="M107" s="41"/>
      <c r="N107" s="41"/>
      <c r="O107" s="41"/>
      <c r="P107" s="41"/>
    </row>
    <row r="108" spans="1:16" ht="15.75">
      <c r="A108" s="48" t="s">
        <v>228</v>
      </c>
      <c r="B108" s="47">
        <v>40</v>
      </c>
      <c r="C108" s="47">
        <v>30</v>
      </c>
      <c r="D108" s="109">
        <f>(C108-B108)/B108</f>
        <v>-0.25</v>
      </c>
      <c r="E108" s="109"/>
      <c r="F108" s="104"/>
      <c r="G108" s="56"/>
      <c r="H108" s="39"/>
      <c r="I108" s="16"/>
      <c r="J108" s="16"/>
      <c r="K108" s="16"/>
      <c r="L108" s="16"/>
      <c r="M108" s="41"/>
      <c r="N108" s="41"/>
      <c r="O108" s="41"/>
      <c r="P108" s="41"/>
    </row>
    <row r="109" spans="1:16" ht="30">
      <c r="A109" s="105" t="str">
        <f>"Výpočet medziročnej zmeny nákladov: (Náklady druhého obdobia - Náklady prvého obdobia) / Náklady prvého obdobia; v našom príklade teda: ("&amp;C107&amp;" - "&amp;B107&amp;") / "&amp;B107</f>
        <v>Výpočet medziročnej zmeny nákladov: (Náklady druhého obdobia - Náklady prvého obdobia) / Náklady prvého obdobia; v našom príklade teda: (100 - 300) / 300</v>
      </c>
      <c r="B109" s="105"/>
      <c r="C109" s="105"/>
      <c r="D109" s="105"/>
      <c r="E109" s="105"/>
      <c r="F109" s="105"/>
      <c r="G109" s="53"/>
      <c r="H109" s="13" t="s">
        <v>225</v>
      </c>
      <c r="I109" s="53"/>
      <c r="J109" s="41"/>
      <c r="K109" s="41"/>
      <c r="L109" s="41"/>
      <c r="M109" s="41"/>
      <c r="N109" s="41"/>
      <c r="O109" s="41"/>
      <c r="P109" s="41"/>
    </row>
    <row r="110" spans="1:16" ht="30">
      <c r="A110" s="91" t="str">
        <f>"Výpočet medziročnej zmeny objemu produkcie: (Objem produkcie druhého obdobia - Objem produkcie  prvého obdobia) / Objem produkcie prvého obdobia; v našom príklade teda: ("&amp;C108&amp;" - "&amp;B108&amp;") / "&amp;B108</f>
        <v>Výpočet medziročnej zmeny objemu produkcie: (Objem produkcie druhého obdobia - Objem produkcie  prvého obdobia) / Objem produkcie prvého obdobia; v našom príklade teda: (30 - 40) / 40</v>
      </c>
      <c r="B110" s="91"/>
      <c r="C110" s="91"/>
      <c r="D110" s="91"/>
      <c r="E110" s="91"/>
      <c r="F110" s="91"/>
      <c r="G110" s="13"/>
      <c r="H110" s="13" t="s">
        <v>225</v>
      </c>
      <c r="I110" s="13"/>
      <c r="J110" s="41"/>
      <c r="K110" s="41"/>
      <c r="L110" s="41"/>
      <c r="M110" s="41"/>
      <c r="N110" s="41"/>
      <c r="O110" s="41"/>
      <c r="P110" s="41"/>
    </row>
    <row r="111" spans="1:16" ht="30">
      <c r="A111" s="91" t="str">
        <f>"Výpočet koeficientu elasticity: Medziročná zmena nákladov / Meziročná zmena objemu produkcie; v našom príklade teda: "&amp;D107*100&amp;" % / "&amp;D108*100&amp;" %"</f>
        <v>Výpočet koeficientu elasticity: Medziročná zmena nákladov / Meziročná zmena objemu produkcie; v našom príklade teda: -66,6666666666667 % / -25 %</v>
      </c>
      <c r="B111" s="91"/>
      <c r="C111" s="91"/>
      <c r="D111" s="91"/>
      <c r="E111" s="91"/>
      <c r="F111" s="91"/>
      <c r="G111" s="13"/>
      <c r="H111" s="13" t="s">
        <v>225</v>
      </c>
      <c r="I111" s="49"/>
      <c r="J111" s="49"/>
      <c r="K111" s="49"/>
      <c r="L111" s="49"/>
      <c r="M111" s="49"/>
      <c r="N111" s="49"/>
      <c r="O111" s="49"/>
      <c r="P111" s="49"/>
    </row>
    <row r="112" spans="1:16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6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</sheetData>
  <sheetProtection algorithmName="SHA-512" hashValue="amcI3/Qb4jcaiOISlnljEfQHXskxepxPnqBFgVSsE7miM/8H59xgUZ7luSYa7UuJ5OtccKOWnKvKYQlpjiOkXw==" saltValue="7uVn9MdLqlgvzyHJsr5u8Q==" spinCount="100000" sheet="1" objects="1" scenarios="1" formatColumns="0" formatRows="0"/>
  <mergeCells count="106">
    <mergeCell ref="C64:F64"/>
    <mergeCell ref="C65:F65"/>
    <mergeCell ref="C66:F66"/>
    <mergeCell ref="C96:F96"/>
    <mergeCell ref="C95:F95"/>
    <mergeCell ref="C94:F94"/>
    <mergeCell ref="C91:F91"/>
    <mergeCell ref="C90:F90"/>
    <mergeCell ref="C88:F88"/>
    <mergeCell ref="A89:F89"/>
    <mergeCell ref="A83:F83"/>
    <mergeCell ref="C87:F87"/>
    <mergeCell ref="C84:F84"/>
    <mergeCell ref="C85:F85"/>
    <mergeCell ref="C86:F86"/>
    <mergeCell ref="A93:F93"/>
    <mergeCell ref="C70:F70"/>
    <mergeCell ref="C71:F71"/>
    <mergeCell ref="C78:F78"/>
    <mergeCell ref="A74:F74"/>
    <mergeCell ref="A79:F79"/>
    <mergeCell ref="C72:F72"/>
    <mergeCell ref="C77:F77"/>
    <mergeCell ref="C76:F76"/>
    <mergeCell ref="C75:F75"/>
    <mergeCell ref="F107:F108"/>
    <mergeCell ref="A109:F109"/>
    <mergeCell ref="A110:F110"/>
    <mergeCell ref="A111:F111"/>
    <mergeCell ref="A104:F104"/>
    <mergeCell ref="D105:E106"/>
    <mergeCell ref="B105:C105"/>
    <mergeCell ref="D108:E108"/>
    <mergeCell ref="D107:E107"/>
    <mergeCell ref="F105:F106"/>
    <mergeCell ref="C81:F81"/>
    <mergeCell ref="C80:F80"/>
    <mergeCell ref="A22:F22"/>
    <mergeCell ref="A19:F19"/>
    <mergeCell ref="A28:F28"/>
    <mergeCell ref="C30:F30"/>
    <mergeCell ref="C32:F32"/>
    <mergeCell ref="C23:F23"/>
    <mergeCell ref="C24:F24"/>
    <mergeCell ref="C25:F25"/>
    <mergeCell ref="C26:F26"/>
    <mergeCell ref="C29:F29"/>
    <mergeCell ref="C43:F43"/>
    <mergeCell ref="C44:F44"/>
    <mergeCell ref="C45:F45"/>
    <mergeCell ref="C46:F46"/>
    <mergeCell ref="C47:G47"/>
    <mergeCell ref="C33:F33"/>
    <mergeCell ref="C35:F35"/>
    <mergeCell ref="C36:F36"/>
    <mergeCell ref="C37:F37"/>
    <mergeCell ref="C41:F41"/>
    <mergeCell ref="A39:F39"/>
    <mergeCell ref="A1:F1"/>
    <mergeCell ref="C34:E34"/>
    <mergeCell ref="C27:E27"/>
    <mergeCell ref="C21:F21"/>
    <mergeCell ref="C20:F20"/>
    <mergeCell ref="A31:E31"/>
    <mergeCell ref="A52:E52"/>
    <mergeCell ref="A13:E13"/>
    <mergeCell ref="C14:F14"/>
    <mergeCell ref="C15:F15"/>
    <mergeCell ref="C16:F16"/>
    <mergeCell ref="C17:F17"/>
    <mergeCell ref="C48:E48"/>
    <mergeCell ref="C40:E40"/>
    <mergeCell ref="C50:E50"/>
    <mergeCell ref="B5:C5"/>
    <mergeCell ref="B7:C7"/>
    <mergeCell ref="E3:F3"/>
    <mergeCell ref="E4:F4"/>
    <mergeCell ref="E5:F5"/>
    <mergeCell ref="E2:F2"/>
    <mergeCell ref="E6:F6"/>
    <mergeCell ref="E7:F7"/>
    <mergeCell ref="E8:F8"/>
    <mergeCell ref="A9:F9"/>
    <mergeCell ref="C97:F97"/>
    <mergeCell ref="C98:F98"/>
    <mergeCell ref="C99:F99"/>
    <mergeCell ref="C101:F101"/>
    <mergeCell ref="C102:F102"/>
    <mergeCell ref="A100:F100"/>
    <mergeCell ref="C12:F12"/>
    <mergeCell ref="A11:F11"/>
    <mergeCell ref="C62:F62"/>
    <mergeCell ref="A42:F42"/>
    <mergeCell ref="A49:F49"/>
    <mergeCell ref="C54:F54"/>
    <mergeCell ref="C55:F55"/>
    <mergeCell ref="C56:F56"/>
    <mergeCell ref="C59:F59"/>
    <mergeCell ref="C60:F60"/>
    <mergeCell ref="A58:F58"/>
    <mergeCell ref="C51:F51"/>
    <mergeCell ref="C53:F53"/>
    <mergeCell ref="C63:F63"/>
    <mergeCell ref="A69:F69"/>
    <mergeCell ref="A61:F61"/>
    <mergeCell ref="C67:F6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4" manualBreakCount="4">
    <brk id="27" max="16383" man="1"/>
    <brk id="47" max="16383" man="1"/>
    <brk id="68" max="5" man="1"/>
    <brk id="92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G39"/>
  <sheetViews>
    <sheetView topLeftCell="A35" zoomScaleNormal="100" zoomScaleSheetLayoutView="120" workbookViewId="0">
      <selection activeCell="E45" sqref="E45"/>
    </sheetView>
  </sheetViews>
  <sheetFormatPr defaultRowHeight="15" outlineLevelRow="1"/>
  <cols>
    <col min="1" max="1" width="47" style="21" customWidth="1"/>
    <col min="2" max="2" width="13" style="21" customWidth="1"/>
    <col min="3" max="3" width="13.85546875" style="21" customWidth="1"/>
    <col min="4" max="4" width="13.7109375" style="21" bestFit="1" customWidth="1"/>
    <col min="5" max="5" width="14.85546875" style="21" customWidth="1"/>
    <col min="6" max="6" width="62.85546875" style="21" customWidth="1"/>
    <col min="7" max="7" width="93.140625" style="21" hidden="1" customWidth="1"/>
    <col min="8" max="16384" width="9.140625" style="21"/>
  </cols>
  <sheetData>
    <row r="1" spans="1:7" ht="15.75">
      <c r="A1" s="110" t="s">
        <v>262</v>
      </c>
      <c r="B1" s="110"/>
      <c r="C1" s="110"/>
      <c r="D1" s="110"/>
      <c r="E1" s="110"/>
      <c r="F1" s="110"/>
      <c r="G1" s="1">
        <f>F1</f>
        <v>0</v>
      </c>
    </row>
    <row r="2" spans="1:7" ht="15.75" outlineLevel="1">
      <c r="A2" s="11"/>
      <c r="B2" s="4" t="s">
        <v>54</v>
      </c>
      <c r="C2" s="4" t="s">
        <v>55</v>
      </c>
      <c r="D2" s="4" t="s">
        <v>56</v>
      </c>
      <c r="E2" s="4" t="s">
        <v>61</v>
      </c>
      <c r="F2" s="1"/>
      <c r="G2" s="1">
        <f>F2</f>
        <v>0</v>
      </c>
    </row>
    <row r="3" spans="1:7" ht="31.5" outlineLevel="1">
      <c r="A3" s="5" t="s">
        <v>66</v>
      </c>
      <c r="B3" s="14" t="s">
        <v>62</v>
      </c>
      <c r="C3" s="14" t="s">
        <v>62</v>
      </c>
      <c r="D3" s="14" t="s">
        <v>62</v>
      </c>
      <c r="E3" s="18">
        <v>200000</v>
      </c>
      <c r="F3" s="1"/>
      <c r="G3" s="1">
        <f t="shared" ref="G3:G30" si="0">F3</f>
        <v>0</v>
      </c>
    </row>
    <row r="4" spans="1:7" ht="15.75" outlineLevel="1">
      <c r="A4" s="5" t="s">
        <v>14</v>
      </c>
      <c r="B4" s="19">
        <v>800</v>
      </c>
      <c r="C4" s="19">
        <v>500</v>
      </c>
      <c r="D4" s="19">
        <v>0</v>
      </c>
      <c r="E4" s="7">
        <f>SUM(B4:D4)</f>
        <v>1300</v>
      </c>
      <c r="F4" s="2" t="s">
        <v>73</v>
      </c>
      <c r="G4" s="1" t="str">
        <f t="shared" si="0"/>
        <v>Na začiatok stačí uvádzať údaje za 2 výrobky</v>
      </c>
    </row>
    <row r="5" spans="1:7" ht="15.75" outlineLevel="1">
      <c r="A5" s="5" t="s">
        <v>57</v>
      </c>
      <c r="B5" s="34">
        <v>5</v>
      </c>
      <c r="C5" s="34">
        <v>4</v>
      </c>
      <c r="D5" s="34">
        <v>3</v>
      </c>
      <c r="E5" s="14" t="s">
        <v>62</v>
      </c>
      <c r="F5" s="1"/>
      <c r="G5" s="1">
        <f t="shared" si="0"/>
        <v>0</v>
      </c>
    </row>
    <row r="6" spans="1:7" ht="31.5" outlineLevel="1">
      <c r="A6" s="5" t="s">
        <v>63</v>
      </c>
      <c r="B6" s="34">
        <v>3</v>
      </c>
      <c r="C6" s="34">
        <v>2</v>
      </c>
      <c r="D6" s="34">
        <v>1</v>
      </c>
      <c r="E6" s="14" t="s">
        <v>62</v>
      </c>
      <c r="F6" s="2" t="s">
        <v>58</v>
      </c>
      <c r="G6" s="1" t="str">
        <f t="shared" si="0"/>
        <v>Hmotnosť spotrebovaného materiálu by mala byť vyššia alebo rovná hmotnosti výrobku</v>
      </c>
    </row>
    <row r="7" spans="1:7" ht="15.75" outlineLevel="1">
      <c r="A7" s="5" t="s">
        <v>59</v>
      </c>
      <c r="B7" s="34">
        <v>4</v>
      </c>
      <c r="C7" s="34">
        <v>3</v>
      </c>
      <c r="D7" s="34">
        <v>3</v>
      </c>
      <c r="E7" s="14" t="s">
        <v>62</v>
      </c>
      <c r="F7" s="2" t="s">
        <v>60</v>
      </c>
      <c r="G7" s="1" t="str">
        <f t="shared" si="0"/>
        <v>Uvažujeme iba s jediným materiálom</v>
      </c>
    </row>
    <row r="8" spans="1:7" ht="30" outlineLevel="1">
      <c r="A8" s="5" t="s">
        <v>68</v>
      </c>
      <c r="B8" s="6">
        <f>B5*B4</f>
        <v>4000</v>
      </c>
      <c r="C8" s="6">
        <f>C5*C4</f>
        <v>2000</v>
      </c>
      <c r="D8" s="6">
        <f>D5*D4</f>
        <v>0</v>
      </c>
      <c r="E8" s="6">
        <f>SUM(B8:D8)</f>
        <v>6000</v>
      </c>
      <c r="F8" s="2" t="str">
        <f>"Hmotnosť výrobku x Objem výroby; napríklad v prípade výrobku A: "&amp;FIXED(B5)&amp;" x "&amp;FIXED(B4)</f>
        <v>Hmotnosť výrobku x Objem výroby; napríklad v prípade výrobku A: 5,00 x 800,00</v>
      </c>
      <c r="G8" s="1" t="str">
        <f t="shared" si="0"/>
        <v>Hmotnosť výrobku x Objem výroby; napríklad v prípade výrobku A: 5,00 x 800,00</v>
      </c>
    </row>
    <row r="9" spans="1:7" ht="45" outlineLevel="1">
      <c r="A9" s="5" t="s">
        <v>69</v>
      </c>
      <c r="B9" s="6">
        <f>B6*B4</f>
        <v>2400</v>
      </c>
      <c r="C9" s="6">
        <f>C6*C4</f>
        <v>1000</v>
      </c>
      <c r="D9" s="6">
        <f>D6*D4</f>
        <v>0</v>
      </c>
      <c r="E9" s="6">
        <f>SUM(B9:D9)</f>
        <v>3400</v>
      </c>
      <c r="F9" s="2" t="str">
        <f>"Hmotnosť spotrebovaného materiálu na 1 kus výrobku x Objem výroby; napríklad v prípade výrobku A: "&amp;FIXED(B6)&amp;" x "&amp;FIXED(B4)</f>
        <v>Hmotnosť spotrebovaného materiálu na 1 kus výrobku x Objem výroby; napríklad v prípade výrobku A: 3,00 x 800,00</v>
      </c>
      <c r="G9" s="1" t="str">
        <f t="shared" si="0"/>
        <v>Hmotnosť spotrebovaného materiálu na 1 kus výrobku x Objem výroby; napríklad v prípade výrobku A: 3,00 x 800,00</v>
      </c>
    </row>
    <row r="10" spans="1:7" ht="60" outlineLevel="1">
      <c r="A10" s="5" t="s">
        <v>70</v>
      </c>
      <c r="B10" s="6">
        <f>B9*B7</f>
        <v>9600</v>
      </c>
      <c r="C10" s="6">
        <f>C9*C7</f>
        <v>3000</v>
      </c>
      <c r="D10" s="6">
        <f>D9*D7</f>
        <v>0</v>
      </c>
      <c r="E10" s="6">
        <f>SUM(B10:D10)</f>
        <v>12600</v>
      </c>
      <c r="F10" s="2" t="str">
        <f>"Celková hmotnosť spotrebovaného materiálu x Cena materiálu; napríklad v prípade výrobku A: "&amp;FIXED(B9)&amp;" x "&amp;FIXED(B7)&amp;"; alternatívne Priamy materiál na 1 kus x Objem výroby"</f>
        <v>Celková hmotnosť spotrebovaného materiálu x Cena materiálu; napríklad v prípade výrobku A: 2 400,00 x 4,00; alternatívne Priamy materiál na 1 kus x Objem výroby</v>
      </c>
      <c r="G10" s="1" t="str">
        <f t="shared" si="0"/>
        <v>Celková hmotnosť spotrebovaného materiálu x Cena materiálu; napríklad v prípade výrobku A: 2 400,00 x 4,00; alternatívne Priamy materiál na 1 kus x Objem výroby</v>
      </c>
    </row>
    <row r="11" spans="1:7" ht="45" outlineLevel="1">
      <c r="A11" s="5" t="s">
        <v>71</v>
      </c>
      <c r="B11" s="37">
        <f>B6*B7</f>
        <v>12</v>
      </c>
      <c r="C11" s="37">
        <f>C6*C7</f>
        <v>6</v>
      </c>
      <c r="D11" s="37">
        <f>D6*D7</f>
        <v>3</v>
      </c>
      <c r="E11" s="14" t="s">
        <v>62</v>
      </c>
      <c r="F11" s="2" t="str">
        <f>"Hmotnosť spotrebovaného materiálu na 1 kus výrobku x Cena materiálu; napríklad v prípade výrobku A: "&amp;FIXED(B6)&amp;" x "&amp;FIXED(B7)</f>
        <v>Hmotnosť spotrebovaného materiálu na 1 kus výrobku x Cena materiálu; napríklad v prípade výrobku A: 3,00 x 4,00</v>
      </c>
      <c r="G11" s="1" t="str">
        <f>F11</f>
        <v>Hmotnosť spotrebovaného materiálu na 1 kus výrobku x Cena materiálu; napríklad v prípade výrobku A: 3,00 x 4,00</v>
      </c>
    </row>
    <row r="12" spans="1:7" ht="15.75">
      <c r="A12" s="9"/>
      <c r="B12" s="1"/>
      <c r="C12" s="1"/>
      <c r="D12" s="1"/>
      <c r="E12" s="1"/>
      <c r="F12" s="1"/>
      <c r="G12" s="1">
        <f t="shared" si="0"/>
        <v>0</v>
      </c>
    </row>
    <row r="13" spans="1:7" ht="15.75">
      <c r="A13" s="110" t="s">
        <v>65</v>
      </c>
      <c r="B13" s="110"/>
      <c r="C13" s="110"/>
      <c r="D13" s="110"/>
      <c r="E13" s="110"/>
      <c r="F13" s="110"/>
      <c r="G13" s="1">
        <f t="shared" si="0"/>
        <v>0</v>
      </c>
    </row>
    <row r="14" spans="1:7" ht="15.75" outlineLevel="1">
      <c r="A14" s="22"/>
      <c r="B14" s="4" t="s">
        <v>54</v>
      </c>
      <c r="C14" s="4" t="s">
        <v>55</v>
      </c>
      <c r="D14" s="4" t="s">
        <v>56</v>
      </c>
      <c r="E14" s="4" t="s">
        <v>61</v>
      </c>
      <c r="F14" s="23"/>
      <c r="G14" s="1">
        <f t="shared" si="0"/>
        <v>0</v>
      </c>
    </row>
    <row r="15" spans="1:7" ht="31.5" outlineLevel="1">
      <c r="A15" s="5" t="s">
        <v>66</v>
      </c>
      <c r="B15" s="14" t="s">
        <v>62</v>
      </c>
      <c r="C15" s="14" t="s">
        <v>62</v>
      </c>
      <c r="D15" s="14" t="s">
        <v>62</v>
      </c>
      <c r="E15" s="29">
        <v>120000</v>
      </c>
      <c r="F15" s="35" t="s">
        <v>72</v>
      </c>
      <c r="G15" s="1"/>
    </row>
    <row r="16" spans="1:7" ht="31.5" outlineLevel="1">
      <c r="A16" s="5" t="s">
        <v>67</v>
      </c>
      <c r="B16" s="8">
        <f>$E$3/$E$4</f>
        <v>153.84615384615384</v>
      </c>
      <c r="C16" s="8">
        <f>$E$3/$E$4</f>
        <v>153.84615384615384</v>
      </c>
      <c r="D16" s="8">
        <f>$E$3/$E$4</f>
        <v>153.84615384615384</v>
      </c>
      <c r="E16" s="14" t="s">
        <v>62</v>
      </c>
      <c r="F16" s="2" t="str">
        <f>"Výrobná réžia ktorú je potrebné rozvrhnúť / Objem výroby (spolu), teda "&amp;FIXED(E3)&amp;" / "&amp;FIXED(E4)</f>
        <v>Výrobná réžia ktorú je potrebné rozvrhnúť / Objem výroby (spolu), teda 200 000,00 / 1 300,00</v>
      </c>
      <c r="G16" s="1" t="str">
        <f t="shared" si="0"/>
        <v>Výrobná réžia ktorú je potrebné rozvrhnúť / Objem výroby (spolu), teda 200 000,00 / 1 300,00</v>
      </c>
    </row>
    <row r="17" spans="1:7" ht="15.75" outlineLevel="1">
      <c r="A17" s="110" t="s">
        <v>91</v>
      </c>
      <c r="B17" s="110"/>
      <c r="C17" s="110"/>
      <c r="D17" s="110"/>
      <c r="E17" s="110"/>
      <c r="F17" s="110"/>
      <c r="G17" s="1">
        <f t="shared" si="0"/>
        <v>0</v>
      </c>
    </row>
    <row r="18" spans="1:7" ht="15.75" outlineLevel="1">
      <c r="A18" s="11"/>
      <c r="B18" s="4" t="s">
        <v>54</v>
      </c>
      <c r="C18" s="4" t="s">
        <v>55</v>
      </c>
      <c r="D18" s="4" t="s">
        <v>56</v>
      </c>
      <c r="E18" s="4" t="s">
        <v>61</v>
      </c>
      <c r="F18" s="1"/>
      <c r="G18" s="1">
        <f t="shared" si="0"/>
        <v>0</v>
      </c>
    </row>
    <row r="19" spans="1:7" ht="15.75" outlineLevel="1">
      <c r="A19" s="5" t="s">
        <v>12</v>
      </c>
      <c r="B19" s="7">
        <f>B4</f>
        <v>800</v>
      </c>
      <c r="C19" s="7">
        <f>C4</f>
        <v>500</v>
      </c>
      <c r="D19" s="7">
        <f>D4</f>
        <v>0</v>
      </c>
      <c r="E19" s="7">
        <f>SUM(B19:D19)</f>
        <v>1300</v>
      </c>
      <c r="F19" s="35" t="s">
        <v>72</v>
      </c>
      <c r="G19" s="1" t="str">
        <f t="shared" si="0"/>
        <v>Využívame údaje z predchádzajúcich tabuliek</v>
      </c>
    </row>
    <row r="20" spans="1:7" ht="31.5" outlineLevel="1">
      <c r="A20" s="5" t="s">
        <v>67</v>
      </c>
      <c r="B20" s="6">
        <f>B19*B16</f>
        <v>123076.92307692308</v>
      </c>
      <c r="C20" s="6">
        <f>C19*C16</f>
        <v>76923.076923076922</v>
      </c>
      <c r="D20" s="6">
        <f>D19*D16</f>
        <v>0</v>
      </c>
      <c r="E20" s="26">
        <f>SUM(B20:D20)</f>
        <v>200000</v>
      </c>
      <c r="F20" s="28" t="str">
        <f>"Rozvrhovaná výrobná réžia a rozvrhnutá výrobná réžia sú zhodne vo výške "&amp;FIXED(E20)&amp;" €"</f>
        <v>Rozvrhovaná výrobná réžia a rozvrhnutá výrobná réžia sú zhodne vo výške 200 000,00 €</v>
      </c>
      <c r="G20" s="1" t="str">
        <f t="shared" si="0"/>
        <v>Rozvrhovaná výrobná réžia a rozvrhnutá výrobná réžia sú zhodne vo výške 200 000,00 €</v>
      </c>
    </row>
    <row r="21" spans="1:7">
      <c r="A21" s="1"/>
      <c r="B21" s="1"/>
      <c r="C21" s="1"/>
      <c r="D21" s="1"/>
      <c r="E21" s="1"/>
      <c r="F21" s="1"/>
      <c r="G21" s="1" t="s">
        <v>114</v>
      </c>
    </row>
    <row r="22" spans="1:7" ht="15.75">
      <c r="A22" s="110" t="s">
        <v>254</v>
      </c>
      <c r="B22" s="110"/>
      <c r="C22" s="110"/>
      <c r="D22" s="110"/>
      <c r="E22" s="110"/>
      <c r="F22" s="110"/>
      <c r="G22" s="1">
        <f t="shared" si="0"/>
        <v>0</v>
      </c>
    </row>
    <row r="23" spans="1:7" ht="60" outlineLevel="1">
      <c r="A23" s="36" t="s">
        <v>64</v>
      </c>
      <c r="B23" s="111" t="s">
        <v>70</v>
      </c>
      <c r="C23" s="112"/>
      <c r="D23" s="90" t="s">
        <v>115</v>
      </c>
      <c r="E23" s="95"/>
      <c r="F23" s="95"/>
      <c r="G23" s="1" t="str">
        <f>D23</f>
        <v>Rozvrhová základňa predstavuje kľúč pre rozdelenie (rozvrhnutie) nepriamych nákladov. V našom prípade nepriamych nákladov súvisiacich s výrobou (teda výrobnej réžie). Rozvrhovú základňu je možné zvoliť po nastavení kurzoru na bunku vľav, na výber je celková homotnosť spotrebovaného materiálu, celková hmotnosť výrobkov a priamy materiál spolu</v>
      </c>
    </row>
    <row r="24" spans="1:7" ht="15.75" outlineLevel="1">
      <c r="A24" s="11"/>
      <c r="B24" s="4" t="s">
        <v>54</v>
      </c>
      <c r="C24" s="4" t="s">
        <v>55</v>
      </c>
      <c r="D24" s="4" t="s">
        <v>56</v>
      </c>
      <c r="E24" s="4" t="s">
        <v>61</v>
      </c>
      <c r="F24" s="1"/>
      <c r="G24" s="1">
        <f t="shared" si="0"/>
        <v>0</v>
      </c>
    </row>
    <row r="25" spans="1:7" ht="15.75" outlineLevel="1">
      <c r="A25" s="5" t="s">
        <v>74</v>
      </c>
      <c r="B25" s="14" t="s">
        <v>62</v>
      </c>
      <c r="C25" s="14" t="s">
        <v>62</v>
      </c>
      <c r="D25" s="14" t="s">
        <v>62</v>
      </c>
      <c r="E25" s="30">
        <f>E3</f>
        <v>200000</v>
      </c>
      <c r="F25" s="2" t="s">
        <v>75</v>
      </c>
      <c r="G25" s="1" t="str">
        <f t="shared" si="0"/>
        <v>Údaj z predchádzajúcich tabuliek</v>
      </c>
    </row>
    <row r="26" spans="1:7" ht="31.5" outlineLevel="1">
      <c r="A26" s="5" t="str">
        <f>"Rozvrhová základňa, ktorou je "&amp;LOWER(B23)</f>
        <v>Rozvrhová základňa, ktorou je priamy materiál spolu (€)</v>
      </c>
      <c r="B26" s="6">
        <f>IF($B$23=$A$8,B8,IF($B$23=$A$9,B9,B10))</f>
        <v>9600</v>
      </c>
      <c r="C26" s="6">
        <f>IF($B$23=$A$8,C8,IF($B$23=$A$9,C9,C10))</f>
        <v>3000</v>
      </c>
      <c r="D26" s="6">
        <f>IF($B$23=$A$8,D8,IF($B$23=$A$9,D9,D10))</f>
        <v>0</v>
      </c>
      <c r="E26" s="6">
        <f>SUM(B26:D26)</f>
        <v>12600</v>
      </c>
      <c r="F26" s="2" t="s">
        <v>75</v>
      </c>
      <c r="G26" s="1" t="str">
        <f t="shared" si="0"/>
        <v>Údaj z predchádzajúcich tabuliek</v>
      </c>
    </row>
    <row r="27" spans="1:7" ht="31.5" outlineLevel="1">
      <c r="A27" s="5" t="str">
        <f>"Výrobná réžia pripadajúca na 1 "&amp;IF(B23=A10,"€","kg")&amp;" rozvrhovej základne"</f>
        <v>Výrobná réžia pripadajúca na 1 € rozvrhovej základne</v>
      </c>
      <c r="B27" s="14" t="s">
        <v>62</v>
      </c>
      <c r="C27" s="14" t="s">
        <v>62</v>
      </c>
      <c r="D27" s="14" t="s">
        <v>62</v>
      </c>
      <c r="E27" s="6">
        <f>E3/E26</f>
        <v>15.873015873015873</v>
      </c>
      <c r="F27" s="3" t="str">
        <f>"Výrobná réžia / rozvrhová základňa (spolu), teda "&amp;FIXED(E25)&amp;" / "&amp;FIXED(E26)</f>
        <v>Výrobná réžia / rozvrhová základňa (spolu), teda 200 000,00 / 12 600,00</v>
      </c>
      <c r="G27" s="1" t="str">
        <f t="shared" si="0"/>
        <v>Výrobná réžia / rozvrhová základňa (spolu), teda 200 000,00 / 12 600,00</v>
      </c>
    </row>
    <row r="28" spans="1:7" ht="60" outlineLevel="1">
      <c r="A28" s="5" t="s">
        <v>76</v>
      </c>
      <c r="B28" s="6">
        <f>$E$27*B26</f>
        <v>152380.9523809524</v>
      </c>
      <c r="C28" s="6">
        <f>$E$27*C26</f>
        <v>47619.047619047618</v>
      </c>
      <c r="D28" s="6">
        <f>$E$27*D26</f>
        <v>0</v>
      </c>
      <c r="E28" s="26">
        <f>SUM(B28:D28)</f>
        <v>200000</v>
      </c>
      <c r="F28" s="2" t="str">
        <f>A26&amp;" x "&amp;A27&amp;"; v prípade výrobku A teda: "&amp;FIXED(B26)&amp;" x "&amp;FIXED(E27)</f>
        <v>Rozvrhová základňa, ktorou je priamy materiál spolu (€) x Výrobná réžia pripadajúca na 1 € rozvrhovej základne; v prípade výrobku A teda: 9 600,00 x 15,87</v>
      </c>
      <c r="G28" s="1" t="str">
        <f t="shared" si="0"/>
        <v>Rozvrhová základňa, ktorou je priamy materiál spolu (€) x Výrobná réžia pripadajúca na 1 € rozvrhovej základne; v prípade výrobku A teda: 9 600,00 x 15,87</v>
      </c>
    </row>
    <row r="29" spans="1:7" ht="15.75" outlineLevel="1">
      <c r="A29" s="5" t="s">
        <v>14</v>
      </c>
      <c r="B29" s="7">
        <f>B4</f>
        <v>800</v>
      </c>
      <c r="C29" s="7">
        <f>C4</f>
        <v>500</v>
      </c>
      <c r="D29" s="7">
        <f>D4</f>
        <v>0</v>
      </c>
      <c r="E29" s="7">
        <f>SUM(B29:D29)</f>
        <v>1300</v>
      </c>
      <c r="F29" s="2" t="s">
        <v>75</v>
      </c>
      <c r="G29" s="1" t="str">
        <f t="shared" si="0"/>
        <v>Údaj z predchádzajúcich tabuliek</v>
      </c>
    </row>
    <row r="30" spans="1:7" ht="45" outlineLevel="1">
      <c r="A30" s="5" t="s">
        <v>81</v>
      </c>
      <c r="B30" s="6">
        <f>B28/B29</f>
        <v>190.47619047619048</v>
      </c>
      <c r="C30" s="6">
        <f>C28/C29</f>
        <v>95.238095238095241</v>
      </c>
      <c r="D30" s="87" t="str">
        <f>IFERROR(D28/D29,"x")</f>
        <v>x</v>
      </c>
      <c r="E30" s="14" t="s">
        <v>62</v>
      </c>
      <c r="F30" s="11" t="str">
        <f>A28&amp;" / "&amp;A30&amp;"; v prípade výrobku A teda: "&amp;FIXED(B28)&amp;" / "&amp;FIXED(B29)</f>
        <v>Výrobná réžia pripadajúca na jednotlivé výrobky (€) / Výrobná réžia pripadajúca na 1 kus výrobku (€/ks); v prípade výrobku A teda: 152 380,95 / 800,00</v>
      </c>
      <c r="G30" s="1" t="str">
        <f t="shared" si="0"/>
        <v>Výrobná réžia pripadajúca na jednotlivé výrobky (€) / Výrobná réžia pripadajúca na 1 kus výrobku (€/ks); v prípade výrobku A teda: 152 380,95 / 800,00</v>
      </c>
    </row>
    <row r="32" spans="1:7" ht="15.75">
      <c r="A32" s="110" t="s">
        <v>231</v>
      </c>
      <c r="B32" s="110"/>
      <c r="C32" s="110"/>
      <c r="D32" s="110"/>
      <c r="E32" s="110"/>
      <c r="F32" s="110"/>
    </row>
    <row r="33" spans="1:7" ht="60" outlineLevel="1">
      <c r="A33" s="115" t="s">
        <v>245</v>
      </c>
      <c r="B33" s="115"/>
      <c r="C33" s="115"/>
      <c r="D33" s="115"/>
      <c r="E33" s="115"/>
      <c r="F33" s="115"/>
      <c r="G33" s="21" t="s">
        <v>226</v>
      </c>
    </row>
    <row r="34" spans="1:7" ht="15.75" customHeight="1" outlineLevel="1">
      <c r="A34" s="59" t="s">
        <v>232</v>
      </c>
      <c r="B34" s="114" t="s">
        <v>237</v>
      </c>
      <c r="C34" s="114"/>
      <c r="D34" s="114" t="s">
        <v>240</v>
      </c>
      <c r="E34" s="114"/>
      <c r="F34" s="114"/>
    </row>
    <row r="35" spans="1:7" outlineLevel="1">
      <c r="A35" s="60" t="s">
        <v>234</v>
      </c>
      <c r="B35" s="113" t="s">
        <v>239</v>
      </c>
      <c r="C35" s="113"/>
      <c r="D35" s="116" t="s">
        <v>241</v>
      </c>
      <c r="E35" s="116"/>
      <c r="F35" s="116"/>
    </row>
    <row r="36" spans="1:7" ht="45" outlineLevel="1">
      <c r="A36" s="60" t="s">
        <v>233</v>
      </c>
      <c r="B36" s="113" t="s">
        <v>243</v>
      </c>
      <c r="C36" s="113"/>
      <c r="D36" s="116" t="s">
        <v>242</v>
      </c>
      <c r="E36" s="116"/>
      <c r="F36" s="116"/>
      <c r="G36" s="21" t="s">
        <v>229</v>
      </c>
    </row>
    <row r="37" spans="1:7" ht="30" outlineLevel="1">
      <c r="A37" s="60" t="s">
        <v>238</v>
      </c>
      <c r="B37" s="117" t="s">
        <v>239</v>
      </c>
      <c r="C37" s="118"/>
      <c r="D37" s="116" t="s">
        <v>244</v>
      </c>
      <c r="E37" s="116"/>
      <c r="F37" s="116"/>
      <c r="G37" s="21" t="s">
        <v>225</v>
      </c>
    </row>
    <row r="38" spans="1:7" outlineLevel="1">
      <c r="A38" s="60" t="s">
        <v>236</v>
      </c>
      <c r="B38" s="113" t="s">
        <v>239</v>
      </c>
      <c r="C38" s="113"/>
      <c r="D38" s="116" t="s">
        <v>241</v>
      </c>
      <c r="E38" s="116"/>
      <c r="F38" s="116"/>
    </row>
    <row r="39" spans="1:7" outlineLevel="1">
      <c r="A39" s="60" t="s">
        <v>235</v>
      </c>
      <c r="B39" s="117" t="s">
        <v>239</v>
      </c>
      <c r="C39" s="118"/>
      <c r="D39" s="116" t="s">
        <v>241</v>
      </c>
      <c r="E39" s="116"/>
      <c r="F39" s="116"/>
    </row>
  </sheetData>
  <sheetProtection algorithmName="SHA-512" hashValue="dp0f/TQkGkEsnS0Q7kT02CeS6Rt9BgNYMPjDVuK3y+8G1obTcK2k+D+KLCnSSf/hRyEaUFkZy/+TqhKSC+enjg==" saltValue="1wDN43Kj66xs0UYxOKD3zQ==" spinCount="100000" sheet="1" objects="1" scenarios="1" formatColumns="0" formatRows="0"/>
  <mergeCells count="20">
    <mergeCell ref="D38:F38"/>
    <mergeCell ref="B38:C38"/>
    <mergeCell ref="B37:C37"/>
    <mergeCell ref="B39:C39"/>
    <mergeCell ref="D39:F39"/>
    <mergeCell ref="D37:F37"/>
    <mergeCell ref="A32:F32"/>
    <mergeCell ref="B35:C35"/>
    <mergeCell ref="B36:C36"/>
    <mergeCell ref="B34:C34"/>
    <mergeCell ref="A33:F33"/>
    <mergeCell ref="D34:F34"/>
    <mergeCell ref="D35:F35"/>
    <mergeCell ref="D36:F36"/>
    <mergeCell ref="A13:F13"/>
    <mergeCell ref="A1:F1"/>
    <mergeCell ref="A17:F17"/>
    <mergeCell ref="A22:F22"/>
    <mergeCell ref="B23:C23"/>
    <mergeCell ref="D23:F23"/>
  </mergeCells>
  <dataValidations count="1">
    <dataValidation type="list" allowBlank="1" showInputMessage="1" showErrorMessage="1" sqref="B23">
      <formula1>$A$8:$A$10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7"/>
  <sheetViews>
    <sheetView zoomScaleNormal="100" workbookViewId="0">
      <selection activeCell="A6" sqref="A6"/>
    </sheetView>
  </sheetViews>
  <sheetFormatPr defaultRowHeight="15" outlineLevelRow="1"/>
  <cols>
    <col min="1" max="1" width="45.85546875" style="72" customWidth="1"/>
    <col min="2" max="2" width="14.7109375" style="72" bestFit="1" customWidth="1"/>
    <col min="3" max="4" width="13.7109375" style="72" bestFit="1" customWidth="1"/>
    <col min="5" max="5" width="13.5703125" style="72" bestFit="1" customWidth="1"/>
    <col min="6" max="6" width="64.28515625" style="72" customWidth="1"/>
    <col min="7" max="7" width="2.42578125" style="72" hidden="1" customWidth="1"/>
    <col min="8" max="16384" width="9.140625" style="72"/>
  </cols>
  <sheetData>
    <row r="1" spans="1:7" ht="15.75">
      <c r="A1" s="121" t="s">
        <v>255</v>
      </c>
      <c r="B1" s="121"/>
      <c r="C1" s="121"/>
      <c r="D1" s="121"/>
      <c r="E1" s="121"/>
      <c r="F1" s="121"/>
      <c r="G1" s="72" t="s">
        <v>246</v>
      </c>
    </row>
    <row r="2" spans="1:7" ht="15.75" outlineLevel="1">
      <c r="A2" s="73"/>
      <c r="B2" s="74" t="s">
        <v>54</v>
      </c>
      <c r="C2" s="74" t="s">
        <v>55</v>
      </c>
      <c r="D2" s="74" t="s">
        <v>56</v>
      </c>
      <c r="E2" s="74" t="s">
        <v>61</v>
      </c>
      <c r="F2" s="75"/>
      <c r="G2" s="72" t="s">
        <v>246</v>
      </c>
    </row>
    <row r="3" spans="1:7" ht="45" outlineLevel="1">
      <c r="A3" s="76" t="s">
        <v>79</v>
      </c>
      <c r="B3" s="77" t="s">
        <v>62</v>
      </c>
      <c r="C3" s="77" t="s">
        <v>62</v>
      </c>
      <c r="D3" s="77" t="s">
        <v>62</v>
      </c>
      <c r="E3" s="18">
        <v>39999</v>
      </c>
      <c r="F3" s="78" t="s">
        <v>77</v>
      </c>
      <c r="G3" s="72" t="s">
        <v>246</v>
      </c>
    </row>
    <row r="4" spans="1:7" ht="15.75" outlineLevel="1">
      <c r="A4" s="76" t="s">
        <v>15</v>
      </c>
      <c r="B4" s="31">
        <v>200</v>
      </c>
      <c r="C4" s="31">
        <v>400</v>
      </c>
      <c r="D4" s="31">
        <v>70</v>
      </c>
      <c r="E4" s="77" t="s">
        <v>62</v>
      </c>
      <c r="F4" s="78"/>
      <c r="G4" s="72" t="s">
        <v>246</v>
      </c>
    </row>
    <row r="5" spans="1:7" ht="60" outlineLevel="1">
      <c r="A5" s="76" t="s">
        <v>286</v>
      </c>
      <c r="B5" s="18">
        <v>4</v>
      </c>
      <c r="C5" s="18">
        <v>5</v>
      </c>
      <c r="D5" s="18">
        <v>6</v>
      </c>
      <c r="E5" s="77" t="s">
        <v>62</v>
      </c>
      <c r="F5" s="78" t="s">
        <v>82</v>
      </c>
      <c r="G5" s="72" t="s">
        <v>246</v>
      </c>
    </row>
    <row r="6" spans="1:7" ht="31.5" outlineLevel="1">
      <c r="A6" s="76" t="s">
        <v>285</v>
      </c>
      <c r="B6" s="18">
        <v>2</v>
      </c>
      <c r="C6" s="18">
        <v>3</v>
      </c>
      <c r="D6" s="18">
        <v>4</v>
      </c>
      <c r="E6" s="77" t="s">
        <v>62</v>
      </c>
      <c r="F6" s="78" t="s">
        <v>78</v>
      </c>
      <c r="G6" s="72" t="s">
        <v>246</v>
      </c>
    </row>
    <row r="7" spans="1:7" ht="75" outlineLevel="1">
      <c r="A7" s="76" t="s">
        <v>83</v>
      </c>
      <c r="B7" s="29">
        <f>B6+B5</f>
        <v>6</v>
      </c>
      <c r="C7" s="29">
        <f>C6+C5</f>
        <v>8</v>
      </c>
      <c r="D7" s="29">
        <f>D6+D5</f>
        <v>10</v>
      </c>
      <c r="E7" s="77" t="s">
        <v>62</v>
      </c>
      <c r="F7" s="78" t="s">
        <v>84</v>
      </c>
      <c r="G7" s="72" t="s">
        <v>246</v>
      </c>
    </row>
    <row r="8" spans="1:7" ht="45" outlineLevel="1">
      <c r="A8" s="76" t="s">
        <v>85</v>
      </c>
      <c r="B8" s="18">
        <v>15</v>
      </c>
      <c r="C8" s="18">
        <v>20</v>
      </c>
      <c r="D8" s="18">
        <v>50</v>
      </c>
      <c r="E8" s="77" t="s">
        <v>62</v>
      </c>
      <c r="F8" s="78" t="str">
        <f>IF(B8*B4+C8*C4+D8*D4-E3-B6*B4-C6*C4-D6*D4&lt;0,"Pri daných hodnotách predajnej ceny, fixných nákladov a variabilných nákladov by bol výsledok hospodárenia záporný: "&amp;FIXED(B8*B4+C8*C4+D8*D4-E3-B6*B4-C6*C4-D6*D4)&amp;" €, preto je ich potrebné zmeniť","")</f>
        <v>Pri daných hodnotách predajnej ceny, fixných nákladov a variabilných nákladov by bol výsledok hospodárenia záporný: -27 379,00 €, preto je ich potrebné zmeniť</v>
      </c>
      <c r="G8" s="72" t="s">
        <v>246</v>
      </c>
    </row>
    <row r="9" spans="1:7">
      <c r="G9" s="72" t="s">
        <v>246</v>
      </c>
    </row>
    <row r="10" spans="1:7" ht="15.75">
      <c r="A10" s="121" t="s">
        <v>86</v>
      </c>
      <c r="B10" s="121"/>
      <c r="C10" s="121"/>
      <c r="D10" s="121"/>
      <c r="E10" s="121"/>
      <c r="F10" s="121"/>
      <c r="G10" s="72" t="s">
        <v>246</v>
      </c>
    </row>
    <row r="11" spans="1:7" ht="30" outlineLevel="1">
      <c r="A11" s="79" t="s">
        <v>64</v>
      </c>
      <c r="B11" s="122" t="s">
        <v>88</v>
      </c>
      <c r="C11" s="122"/>
      <c r="D11" s="122"/>
      <c r="E11" s="122"/>
      <c r="F11" s="78" t="s">
        <v>87</v>
      </c>
      <c r="G11" s="72" t="s">
        <v>246</v>
      </c>
    </row>
    <row r="12" spans="1:7" ht="15.75" outlineLevel="1">
      <c r="A12" s="73"/>
      <c r="B12" s="74" t="s">
        <v>54</v>
      </c>
      <c r="C12" s="74" t="s">
        <v>55</v>
      </c>
      <c r="D12" s="74" t="s">
        <v>56</v>
      </c>
      <c r="E12" s="74" t="s">
        <v>61</v>
      </c>
      <c r="G12" s="72" t="s">
        <v>246</v>
      </c>
    </row>
    <row r="13" spans="1:7" ht="15.75" outlineLevel="1">
      <c r="A13" s="76" t="s">
        <v>14</v>
      </c>
      <c r="B13" s="80">
        <f>B4</f>
        <v>200</v>
      </c>
      <c r="C13" s="80">
        <f>C4</f>
        <v>400</v>
      </c>
      <c r="D13" s="80">
        <f>D4</f>
        <v>70</v>
      </c>
      <c r="E13" s="77" t="s">
        <v>62</v>
      </c>
      <c r="F13" s="78" t="s">
        <v>75</v>
      </c>
      <c r="G13" s="72" t="s">
        <v>246</v>
      </c>
    </row>
    <row r="14" spans="1:7" ht="31.5" outlineLevel="1">
      <c r="A14" s="76" t="str">
        <f>B11</f>
        <v>Predajná cena polotovaru po skončení spoločnej technologickej fázy (€/ks)</v>
      </c>
      <c r="B14" s="80">
        <f>IF($B$11=$A$5,B5,IF($B$11=$A$6,B6,B8))</f>
        <v>15</v>
      </c>
      <c r="C14" s="80">
        <f>IF($B$11=$A$5,C5,IF($B$11=$A$6,C6,C8))</f>
        <v>20</v>
      </c>
      <c r="D14" s="80">
        <f>IF($B$11=$A$5,D5,IF($B$11=$A$6,D6,D8))</f>
        <v>50</v>
      </c>
      <c r="E14" s="77" t="s">
        <v>62</v>
      </c>
      <c r="F14" s="78" t="s">
        <v>75</v>
      </c>
      <c r="G14" s="72" t="s">
        <v>246</v>
      </c>
    </row>
    <row r="15" spans="1:7" ht="30" outlineLevel="1">
      <c r="A15" s="76" t="s">
        <v>90</v>
      </c>
      <c r="B15" s="80">
        <f>B13*B14</f>
        <v>3000</v>
      </c>
      <c r="C15" s="80">
        <f>C13*C14</f>
        <v>8000</v>
      </c>
      <c r="D15" s="80">
        <f>D13*D14</f>
        <v>3500</v>
      </c>
      <c r="E15" s="80">
        <f>SUM(B15:D15)</f>
        <v>14500</v>
      </c>
      <c r="F15" s="78" t="str">
        <f>A13&amp;" x "&amp;A14</f>
        <v>Objem výroby (ks) x Predajná cena polotovaru po skončení spoločnej technologickej fázy (€/ks)</v>
      </c>
      <c r="G15" s="72" t="s">
        <v>246</v>
      </c>
    </row>
    <row r="16" spans="1:7" ht="31.5" outlineLevel="1">
      <c r="A16" s="76" t="s">
        <v>89</v>
      </c>
      <c r="B16" s="77" t="s">
        <v>62</v>
      </c>
      <c r="C16" s="77" t="s">
        <v>62</v>
      </c>
      <c r="D16" s="77" t="s">
        <v>62</v>
      </c>
      <c r="E16" s="80">
        <f>E3/E15</f>
        <v>2.7585517241379311</v>
      </c>
      <c r="F16" s="78" t="str">
        <f>"Náklady spoločnej technologickej fázy (€) / Rozvrhová základňa (€), teda "&amp;E3&amp;" / "&amp;E15</f>
        <v>Náklady spoločnej technologickej fázy (€) / Rozvrhová základňa (€), teda 39999 / 14500</v>
      </c>
      <c r="G16" s="72" t="s">
        <v>246</v>
      </c>
    </row>
    <row r="17" spans="1:7" ht="31.5" outlineLevel="1">
      <c r="A17" s="76" t="s">
        <v>92</v>
      </c>
      <c r="B17" s="81">
        <f>B15*$E$16</f>
        <v>8275.6551724137935</v>
      </c>
      <c r="C17" s="81">
        <f>C15*$E$16</f>
        <v>22068.413793103449</v>
      </c>
      <c r="D17" s="81">
        <f>D15*$E$16</f>
        <v>9654.9310344827591</v>
      </c>
      <c r="E17" s="80">
        <f>SUM(B17:D17)</f>
        <v>39999</v>
      </c>
      <c r="F17" s="78" t="str">
        <f>A16&amp;" x "&amp;A15</f>
        <v>Náklady spoločnej technologickej fázy pripadajúce na 1 € rozvrhovej základne x Rozvrhová základňa (€)</v>
      </c>
      <c r="G17" s="72" t="s">
        <v>246</v>
      </c>
    </row>
    <row r="18" spans="1:7" ht="47.25" outlineLevel="1">
      <c r="A18" s="76" t="s">
        <v>93</v>
      </c>
      <c r="B18" s="80">
        <f>B17/B13</f>
        <v>41.378275862068968</v>
      </c>
      <c r="C18" s="80">
        <f>C17/C13</f>
        <v>55.171034482758621</v>
      </c>
      <c r="D18" s="80">
        <f>D17/D13</f>
        <v>137.92758620689656</v>
      </c>
      <c r="E18" s="77" t="s">
        <v>62</v>
      </c>
      <c r="F18" s="78" t="str">
        <f>A17&amp;" / "&amp;A13</f>
        <v>Náklady spoločnej technologickej fázy pripadajúce na daný výrobok (€) / Objem výroby (ks)</v>
      </c>
      <c r="G18" s="72" t="s">
        <v>246</v>
      </c>
    </row>
    <row r="19" spans="1:7">
      <c r="G19" s="72" t="s">
        <v>246</v>
      </c>
    </row>
    <row r="20" spans="1:7" ht="15.75">
      <c r="A20" s="121" t="s">
        <v>256</v>
      </c>
      <c r="B20" s="121"/>
      <c r="C20" s="121"/>
      <c r="D20" s="121"/>
      <c r="E20" s="121"/>
      <c r="F20" s="121"/>
      <c r="G20" s="72" t="s">
        <v>246</v>
      </c>
    </row>
    <row r="21" spans="1:7" ht="15.75" outlineLevel="1">
      <c r="A21" s="73"/>
      <c r="B21" s="74" t="s">
        <v>54</v>
      </c>
      <c r="C21" s="74" t="s">
        <v>55</v>
      </c>
      <c r="D21" s="74" t="s">
        <v>56</v>
      </c>
      <c r="E21" s="74" t="s">
        <v>61</v>
      </c>
      <c r="G21" s="72" t="s">
        <v>246</v>
      </c>
    </row>
    <row r="22" spans="1:7" ht="15.75" outlineLevel="1">
      <c r="A22" s="76" t="s">
        <v>15</v>
      </c>
      <c r="B22" s="81">
        <f>B4</f>
        <v>200</v>
      </c>
      <c r="C22" s="81">
        <f>C4</f>
        <v>400</v>
      </c>
      <c r="D22" s="81">
        <v>1000</v>
      </c>
      <c r="E22" s="82">
        <f>SUM(B22:D22)</f>
        <v>1600</v>
      </c>
      <c r="F22" s="78" t="s">
        <v>75</v>
      </c>
      <c r="G22" s="72" t="s">
        <v>246</v>
      </c>
    </row>
    <row r="23" spans="1:7" ht="31.5" outlineLevel="1">
      <c r="A23" s="76" t="s">
        <v>116</v>
      </c>
      <c r="B23" s="81">
        <f>B8</f>
        <v>15</v>
      </c>
      <c r="C23" s="81">
        <f>C8</f>
        <v>20</v>
      </c>
      <c r="D23" s="81">
        <f>D8</f>
        <v>50</v>
      </c>
      <c r="E23" s="77" t="s">
        <v>62</v>
      </c>
      <c r="F23" s="78" t="s">
        <v>75</v>
      </c>
      <c r="G23" s="72" t="s">
        <v>246</v>
      </c>
    </row>
    <row r="24" spans="1:7" ht="45" outlineLevel="1">
      <c r="A24" s="76" t="s">
        <v>117</v>
      </c>
      <c r="B24" s="80">
        <f>B22*B23</f>
        <v>3000</v>
      </c>
      <c r="C24" s="80">
        <f>C22*C23</f>
        <v>8000</v>
      </c>
      <c r="D24" s="80">
        <f>D22*D23</f>
        <v>50000</v>
      </c>
      <c r="E24" s="82">
        <f>SUM(B24:D24)</f>
        <v>61000</v>
      </c>
      <c r="F24" s="78" t="str">
        <f>A22&amp;" x "&amp;A23&amp;"; napríklad v prípade výrobku A to bude: "&amp;FIXED(B22)&amp;" x "&amp;FIXED(B23)</f>
        <v>Objem výroby a predaja (ks) x Skutočná predajná cena finálneho výrobku (€/ks); napríklad v prípade výrobku A to bude: 200,00 x 15,00</v>
      </c>
      <c r="G24" s="72" t="s">
        <v>246</v>
      </c>
    </row>
    <row r="25" spans="1:7" ht="31.5" outlineLevel="1">
      <c r="A25" s="76" t="s">
        <v>80</v>
      </c>
      <c r="B25" s="80">
        <f>B6</f>
        <v>2</v>
      </c>
      <c r="C25" s="80">
        <f>C6</f>
        <v>3</v>
      </c>
      <c r="D25" s="80">
        <f>D6</f>
        <v>4</v>
      </c>
      <c r="E25" s="77" t="s">
        <v>62</v>
      </c>
      <c r="F25" s="78" t="s">
        <v>75</v>
      </c>
      <c r="G25" s="72" t="s">
        <v>246</v>
      </c>
    </row>
    <row r="26" spans="1:7" ht="45" outlineLevel="1">
      <c r="A26" s="76" t="s">
        <v>122</v>
      </c>
      <c r="B26" s="80">
        <f>B22*B25</f>
        <v>400</v>
      </c>
      <c r="C26" s="80">
        <f>C22*C25</f>
        <v>1200</v>
      </c>
      <c r="D26" s="80">
        <f>D22*D25</f>
        <v>4000</v>
      </c>
      <c r="E26" s="82">
        <f>SUM(B26:D26)</f>
        <v>5600</v>
      </c>
      <c r="F26" s="78" t="str">
        <f>A25&amp;" x "&amp;A22&amp;"; napríklad v prípade výrobku A to bude: "&amp;FIXED(B25)&amp;" x "&amp;FIXED(B22)</f>
        <v>Náklady individuálneho spracovania 1 kusu výrobku (€/ks) x Objem výroby a predaja (ks); napríklad v prípade výrobku A to bude: 2,00 x 200,00</v>
      </c>
      <c r="G26" s="72" t="s">
        <v>246</v>
      </c>
    </row>
    <row r="27" spans="1:7" ht="31.5" outlineLevel="1">
      <c r="A27" s="76" t="s">
        <v>79</v>
      </c>
      <c r="E27" s="80">
        <f>E3</f>
        <v>39999</v>
      </c>
      <c r="F27" s="78" t="s">
        <v>75</v>
      </c>
      <c r="G27" s="72" t="s">
        <v>246</v>
      </c>
    </row>
    <row r="28" spans="1:7" ht="60" outlineLevel="1">
      <c r="A28" s="76" t="s">
        <v>118</v>
      </c>
      <c r="B28" s="77" t="s">
        <v>62</v>
      </c>
      <c r="C28" s="77" t="s">
        <v>62</v>
      </c>
      <c r="D28" s="77" t="s">
        <v>62</v>
      </c>
      <c r="E28" s="82">
        <f>E24-E26-E27</f>
        <v>15401</v>
      </c>
      <c r="F28" s="78" t="str">
        <f>A24&amp;" - "&amp;A26&amp;" - "&amp;A27&amp;"; tu teda: "&amp;FIXED(E24)&amp;" - "&amp;FIXED(E26)&amp;" - "&amp;FIXED(E27)</f>
        <v>Tržby z predaja finálneho výrobku (€) - Náklady individuálneho spracovania spolu (€) - Náklady spoločnej technologickej fázy (€); tu teda: 61 000,00 - 5 600,00 - 39 999,00</v>
      </c>
      <c r="G28" s="72" t="s">
        <v>246</v>
      </c>
    </row>
    <row r="29" spans="1:7" ht="30" outlineLevel="1">
      <c r="A29" s="76" t="s">
        <v>119</v>
      </c>
      <c r="B29" s="77" t="s">
        <v>62</v>
      </c>
      <c r="C29" s="77" t="s">
        <v>62</v>
      </c>
      <c r="D29" s="77" t="s">
        <v>62</v>
      </c>
      <c r="E29" s="83">
        <f>E28/E24</f>
        <v>0.25247540983606559</v>
      </c>
      <c r="F29" s="78" t="str">
        <f>A28&amp;" / "&amp;A24&amp;" x 100 %; tu teda: "&amp;FIXED(E28)&amp;" / "&amp;FIXED(E24)&amp;" x 100 %"</f>
        <v>Obchodná marža (€) / Tržby z predaja finálneho výrobku (€) x 100 %; tu teda: 15 401,00 / 61 000,00 x 100 %</v>
      </c>
      <c r="G29" s="72" t="s">
        <v>246</v>
      </c>
    </row>
    <row r="30" spans="1:7" ht="30" outlineLevel="1">
      <c r="A30" s="76" t="s">
        <v>117</v>
      </c>
      <c r="B30" s="80">
        <f>B24</f>
        <v>3000</v>
      </c>
      <c r="C30" s="80">
        <f>C24</f>
        <v>8000</v>
      </c>
      <c r="D30" s="80">
        <f>D24</f>
        <v>50000</v>
      </c>
      <c r="E30" s="82">
        <f>SUM(B30:D30)</f>
        <v>61000</v>
      </c>
      <c r="F30" s="78" t="s">
        <v>120</v>
      </c>
      <c r="G30" s="72" t="s">
        <v>246</v>
      </c>
    </row>
    <row r="31" spans="1:7" ht="60" outlineLevel="1">
      <c r="A31" s="76" t="s">
        <v>118</v>
      </c>
      <c r="B31" s="80">
        <f>$E$29*B30</f>
        <v>757.4262295081968</v>
      </c>
      <c r="C31" s="80">
        <f>$E$29*C30</f>
        <v>2019.8032786885246</v>
      </c>
      <c r="D31" s="80">
        <f>$E$29*D30</f>
        <v>12623.77049180328</v>
      </c>
      <c r="E31" s="82">
        <f>SUM(B31:D31)</f>
        <v>15401</v>
      </c>
      <c r="F31" s="78" t="str">
        <f>"Obchodná marža predstavuje zisk z daného výrobku, určíme ju ako "&amp;A30&amp;" x "&amp;A29&amp;" / 100 %; napríklad v prípade výrobku A ju určíme: "&amp;FIXED(B30)&amp;" x "&amp;FIXED(E29)&amp;" x 100 % / 100 %"</f>
        <v>Obchodná marža predstavuje zisk z daného výrobku, určíme ju ako Tržby z predaja finálneho výrobku (€) x Percento obchodnej marže (%) / 100 %; napríklad v prípade výrobku A ju určíme: 3 000,00 x 0,25 x 100 % / 100 %</v>
      </c>
      <c r="G31" s="72" t="s">
        <v>229</v>
      </c>
    </row>
    <row r="32" spans="1:7" ht="63" outlineLevel="1">
      <c r="A32" s="76" t="s">
        <v>121</v>
      </c>
      <c r="B32" s="80">
        <f>B30-B31</f>
        <v>2242.5737704918033</v>
      </c>
      <c r="C32" s="80">
        <f>C30-C31</f>
        <v>5980.1967213114749</v>
      </c>
      <c r="D32" s="80">
        <f>D30-D31</f>
        <v>37376.229508196717</v>
      </c>
      <c r="E32" s="77" t="s">
        <v>62</v>
      </c>
      <c r="F32" s="78" t="str">
        <f>A24&amp;" - "&amp;A31&amp;"; napríklad v prípade výrobku A: "&amp;FIXED(B24)&amp;" - "&amp;FIXED(B31)</f>
        <v>Tržby z predaja finálneho výrobku (€) - Obchodná marža (€); napríklad v prípade výrobku A: 3 000,00 - 757,43</v>
      </c>
      <c r="G32" s="72" t="s">
        <v>246</v>
      </c>
    </row>
    <row r="33" spans="1:7" ht="31.5" outlineLevel="1">
      <c r="A33" s="76" t="s">
        <v>122</v>
      </c>
      <c r="B33" s="80">
        <f>B26</f>
        <v>400</v>
      </c>
      <c r="C33" s="80">
        <f>C26</f>
        <v>1200</v>
      </c>
      <c r="D33" s="80">
        <f>D26</f>
        <v>4000</v>
      </c>
      <c r="E33" s="77" t="s">
        <v>62</v>
      </c>
      <c r="F33" s="78" t="s">
        <v>123</v>
      </c>
      <c r="G33" s="72" t="s">
        <v>246</v>
      </c>
    </row>
    <row r="34" spans="1:7" ht="75" outlineLevel="1">
      <c r="A34" s="76" t="s">
        <v>92</v>
      </c>
      <c r="B34" s="80">
        <f>B32-B33</f>
        <v>1842.5737704918033</v>
      </c>
      <c r="C34" s="80">
        <f>C32-C33</f>
        <v>4780.1967213114749</v>
      </c>
      <c r="D34" s="80">
        <f>D32-D33</f>
        <v>33376.229508196717</v>
      </c>
      <c r="E34" s="84">
        <f>SUM(B34:D34)</f>
        <v>39998.999999999993</v>
      </c>
      <c r="F34" s="78" t="str">
        <f>A32&amp;" - "&amp;A33&amp;"; napríklad v prípade výrobku A: "&amp;FIXED(B32)&amp;" - "&amp;FIXED(B33)</f>
        <v>Časť z tržieb pripadajúca na náklady (ktoré sú tvorené nákladmi technologickej fázy a nákladmi individuálneho spracovania) - Náklady individuálneho spracovania spolu (€); napríklad v prípade výrobku A: 2 242,57 - 400,00</v>
      </c>
      <c r="G34" s="72" t="s">
        <v>247</v>
      </c>
    </row>
    <row r="35" spans="1:7" ht="60" outlineLevel="1">
      <c r="A35" s="76" t="s">
        <v>93</v>
      </c>
      <c r="B35" s="80">
        <f>B34/B22</f>
        <v>9.2128688524590174</v>
      </c>
      <c r="C35" s="80">
        <f>C34/C22</f>
        <v>11.950491803278688</v>
      </c>
      <c r="D35" s="80">
        <f>D34/D22</f>
        <v>33.376229508196715</v>
      </c>
      <c r="E35" s="77" t="s">
        <v>62</v>
      </c>
      <c r="F35" s="78" t="str">
        <f>A34&amp;" / "&amp;A22&amp;"; napríklad v prípade výrobku A to bude: "&amp;FIXED(B34)&amp;" / "&amp;FIXED(B22)</f>
        <v>Náklady spoločnej technologickej fázy pripadajúce na daný výrobok (€) / Objem výroby a predaja (ks); napríklad v prípade výrobku A to bude: 1 842,57 / 200,00</v>
      </c>
      <c r="G35" s="72" t="s">
        <v>226</v>
      </c>
    </row>
    <row r="37" spans="1:7" ht="15.75">
      <c r="A37" s="121" t="s">
        <v>217</v>
      </c>
      <c r="B37" s="121"/>
      <c r="C37" s="121"/>
      <c r="D37" s="121"/>
      <c r="E37" s="121"/>
      <c r="F37" s="121"/>
    </row>
    <row r="38" spans="1:7" ht="31.5">
      <c r="A38" s="73"/>
      <c r="B38" s="74" t="s">
        <v>218</v>
      </c>
      <c r="C38" s="74" t="s">
        <v>219</v>
      </c>
      <c r="D38" s="74" t="s">
        <v>61</v>
      </c>
    </row>
    <row r="39" spans="1:7" ht="47.25">
      <c r="A39" s="76" t="s">
        <v>267</v>
      </c>
      <c r="B39" s="77" t="s">
        <v>62</v>
      </c>
      <c r="C39" s="77" t="s">
        <v>62</v>
      </c>
      <c r="D39" s="31">
        <v>160000</v>
      </c>
    </row>
    <row r="40" spans="1:7" ht="30">
      <c r="A40" s="76" t="s">
        <v>15</v>
      </c>
      <c r="B40" s="31">
        <v>1000</v>
      </c>
      <c r="C40" s="31">
        <v>1000</v>
      </c>
      <c r="D40" s="77" t="s">
        <v>62</v>
      </c>
      <c r="E40" s="123" t="s">
        <v>270</v>
      </c>
      <c r="F40" s="124"/>
      <c r="G40" s="72" t="s">
        <v>225</v>
      </c>
    </row>
    <row r="41" spans="1:7" ht="15.75">
      <c r="A41" s="76" t="s">
        <v>220</v>
      </c>
      <c r="B41" s="31">
        <v>2000</v>
      </c>
      <c r="C41" s="31">
        <v>60</v>
      </c>
      <c r="D41" s="77" t="s">
        <v>62</v>
      </c>
      <c r="E41" s="123"/>
      <c r="F41" s="124"/>
      <c r="G41" s="72" t="s">
        <v>246</v>
      </c>
    </row>
    <row r="42" spans="1:7" ht="15.75">
      <c r="A42" s="76" t="s">
        <v>221</v>
      </c>
      <c r="B42" s="80">
        <f>B41*B40</f>
        <v>2000000</v>
      </c>
      <c r="C42" s="80">
        <f>C41*C40</f>
        <v>60000</v>
      </c>
      <c r="D42" s="77" t="s">
        <v>62</v>
      </c>
      <c r="F42" s="85"/>
    </row>
    <row r="43" spans="1:7" ht="47.25">
      <c r="A43" s="79" t="s">
        <v>263</v>
      </c>
      <c r="B43" s="31">
        <v>1800</v>
      </c>
      <c r="C43" s="31">
        <v>15</v>
      </c>
      <c r="D43" s="77" t="s">
        <v>62</v>
      </c>
      <c r="F43" s="85"/>
    </row>
    <row r="44" spans="1:7" ht="31.5">
      <c r="A44" s="79" t="s">
        <v>264</v>
      </c>
      <c r="B44" s="82">
        <f>B40*B43</f>
        <v>1800000</v>
      </c>
      <c r="C44" s="82">
        <f>C40*C43</f>
        <v>15000</v>
      </c>
      <c r="D44" s="77" t="s">
        <v>62</v>
      </c>
      <c r="F44" s="85"/>
    </row>
    <row r="45" spans="1:7" ht="63" customHeight="1">
      <c r="A45" s="79" t="s">
        <v>268</v>
      </c>
      <c r="B45" s="77" t="s">
        <v>62</v>
      </c>
      <c r="C45" s="80">
        <f>C42-C44</f>
        <v>45000</v>
      </c>
      <c r="D45" s="77" t="s">
        <v>62</v>
      </c>
      <c r="E45" s="119" t="str">
        <f>"Tržby z predaja vedľajšieho výrobku - individuálne náklady na dokončenie a spracovanie vedľajšieho výrobku; tu: "&amp;FIXED(C42)&amp;" - "&amp;(C44)</f>
        <v>Tržby z predaja vedľajšieho výrobku - individuálne náklady na dokončenie a spracovanie vedľajšieho výrobku; tu: 60 000,00 - 15000</v>
      </c>
      <c r="F45" s="120"/>
      <c r="G45" s="72" t="s">
        <v>229</v>
      </c>
    </row>
    <row r="46" spans="1:7" ht="60" customHeight="1">
      <c r="A46" s="79" t="s">
        <v>265</v>
      </c>
      <c r="B46" s="86">
        <f>D39-C45</f>
        <v>115000</v>
      </c>
      <c r="C46" s="86" t="s">
        <v>62</v>
      </c>
      <c r="D46" s="86" t="s">
        <v>62</v>
      </c>
      <c r="E46" s="119" t="str">
        <f>"Náklady spoločnej technologickej fázy, týkajúcej sa výroby hlavného aj vedľajšieho výrobku - Odhadované náklady spoločnej fázy pripadajúce na vedľajší výrobok; tu teda "&amp;FIXED(D39)&amp;" - "&amp;FIXED(C45)</f>
        <v>Náklady spoločnej technologickej fázy, týkajúcej sa výroby hlavného aj vedľajšieho výrobku - Odhadované náklady spoločnej fázy pripadajúce na vedľajší výrobok; tu teda 160 000,00 - 45 000,00</v>
      </c>
      <c r="F46" s="120"/>
      <c r="G46" s="72" t="s">
        <v>226</v>
      </c>
    </row>
    <row r="47" spans="1:7" ht="15.75">
      <c r="A47" s="76" t="s">
        <v>266</v>
      </c>
      <c r="B47" s="80">
        <f>B46/B40</f>
        <v>115</v>
      </c>
      <c r="C47" s="80">
        <f>C45/C40</f>
        <v>45</v>
      </c>
      <c r="D47" s="80"/>
    </row>
  </sheetData>
  <sheetProtection algorithmName="SHA-512" hashValue="fdGZizjJPPf6AlP05GHJCACbNOjFa3ExuWFu13wwl5kDiUnKW7lys4s7RQT7BLu+LnW+bWm3pRxIR0CkMXOQqg==" saltValue="xr1MCsMVaR1u+gM/J6Jp3g==" spinCount="100000" sheet="1" objects="1" scenarios="1" formatColumns="0" formatRows="0"/>
  <mergeCells count="8">
    <mergeCell ref="E45:F45"/>
    <mergeCell ref="E46:F46"/>
    <mergeCell ref="A1:F1"/>
    <mergeCell ref="A10:F10"/>
    <mergeCell ref="B11:E11"/>
    <mergeCell ref="A20:F20"/>
    <mergeCell ref="A37:F37"/>
    <mergeCell ref="E40:F41"/>
  </mergeCells>
  <dataValidations count="1">
    <dataValidation type="list" allowBlank="1" showInputMessage="1" showErrorMessage="1" sqref="B11:E11">
      <formula1>$G$5:$G$7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2" manualBreakCount="2">
    <brk id="19" max="5" man="1"/>
    <brk id="35" max="16383" man="1"/>
  </rowBreaks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4"/>
  <sheetViews>
    <sheetView tabSelected="1" topLeftCell="A2" zoomScaleNormal="100" workbookViewId="0">
      <selection activeCell="C13" sqref="C13"/>
    </sheetView>
  </sheetViews>
  <sheetFormatPr defaultRowHeight="15" outlineLevelRow="1"/>
  <cols>
    <col min="1" max="1" width="54.28515625" style="10" customWidth="1"/>
    <col min="2" max="2" width="13.7109375" style="10" bestFit="1" customWidth="1"/>
    <col min="3" max="3" width="13.28515625" style="10" customWidth="1"/>
    <col min="4" max="4" width="64.85546875" style="10" customWidth="1"/>
    <col min="5" max="5" width="47.140625" style="10" hidden="1" customWidth="1"/>
    <col min="6" max="16384" width="9.140625" style="10"/>
  </cols>
  <sheetData>
    <row r="1" spans="1:5" ht="30">
      <c r="A1" s="127" t="s">
        <v>257</v>
      </c>
      <c r="B1" s="127"/>
      <c r="C1" s="128"/>
      <c r="D1" s="129"/>
      <c r="E1" s="10" t="s">
        <v>225</v>
      </c>
    </row>
    <row r="2" spans="1:5" ht="15.75" outlineLevel="1">
      <c r="A2" s="24"/>
      <c r="B2" s="25" t="s">
        <v>125</v>
      </c>
      <c r="C2" s="25" t="s">
        <v>126</v>
      </c>
    </row>
    <row r="3" spans="1:5" ht="15.75" outlineLevel="1">
      <c r="A3" s="26" t="s">
        <v>14</v>
      </c>
      <c r="B3" s="18">
        <v>1000</v>
      </c>
      <c r="C3" s="6">
        <v>1100</v>
      </c>
    </row>
    <row r="4" spans="1:5" ht="45" customHeight="1" outlineLevel="1">
      <c r="A4" s="26" t="s">
        <v>124</v>
      </c>
      <c r="B4" s="6">
        <f>B3</f>
        <v>1000</v>
      </c>
      <c r="C4" s="6">
        <f>B4</f>
        <v>1000</v>
      </c>
      <c r="D4" s="150" t="s">
        <v>137</v>
      </c>
    </row>
    <row r="5" spans="1:5" ht="15.75" outlineLevel="1">
      <c r="A5" s="26" t="s">
        <v>128</v>
      </c>
      <c r="B5" s="27" t="s">
        <v>62</v>
      </c>
      <c r="C5" s="6">
        <f>C3-C4</f>
        <v>100</v>
      </c>
      <c r="D5" s="150"/>
    </row>
    <row r="6" spans="1:5" ht="15.75" outlineLevel="1">
      <c r="A6" s="26" t="s">
        <v>129</v>
      </c>
      <c r="B6" s="18">
        <v>5</v>
      </c>
      <c r="C6" s="6">
        <f>B6</f>
        <v>5</v>
      </c>
    </row>
    <row r="7" spans="1:5" ht="30" outlineLevel="1">
      <c r="A7" s="26" t="s">
        <v>130</v>
      </c>
      <c r="B7" s="6">
        <f>B6*B3</f>
        <v>5000</v>
      </c>
      <c r="C7" s="6">
        <f>C6*C3</f>
        <v>5500</v>
      </c>
      <c r="D7" s="28" t="str">
        <f>A6&amp;" x "&amp;A3&amp;"; v rámci variantu 1 by to teda bolo: "&amp;FIXED(B6)&amp;" x "&amp;FIXED(B3)</f>
        <v>Priame náklady na 1 kus výrobku (€/ks) x Objem výroby (ks); v rámci variantu 1 by to teda bolo: 5,00 x 1 000,00</v>
      </c>
    </row>
    <row r="8" spans="1:5" ht="30" outlineLevel="1">
      <c r="A8" s="26" t="s">
        <v>131</v>
      </c>
      <c r="B8" s="18">
        <v>20000</v>
      </c>
      <c r="C8" s="6">
        <f>B8</f>
        <v>20000</v>
      </c>
      <c r="D8" s="28" t="s">
        <v>127</v>
      </c>
    </row>
    <row r="9" spans="1:5" ht="15.75" outlineLevel="1">
      <c r="A9" s="26" t="s">
        <v>132</v>
      </c>
      <c r="B9" s="18">
        <v>20</v>
      </c>
      <c r="C9" s="6">
        <f>B9</f>
        <v>20</v>
      </c>
    </row>
    <row r="10" spans="1:5" ht="30" outlineLevel="1">
      <c r="A10" s="26" t="s">
        <v>30</v>
      </c>
      <c r="B10" s="6">
        <f>B9*B4</f>
        <v>20000</v>
      </c>
      <c r="C10" s="6">
        <f>C9*C4</f>
        <v>20000</v>
      </c>
      <c r="D10" s="28" t="str">
        <f>A4&amp;" x "&amp;A9&amp;"; v prípade variantu 1 by to bolo: "&amp;FIXED(B4)&amp;" x "&amp;FIXED(B9)</f>
        <v>Objem predaja (ks) x Predajná cena (€/ks); v prípade variantu 1 by to bolo: 1 000,00 x 20,00</v>
      </c>
    </row>
    <row r="11" spans="1:5" ht="30" outlineLevel="1">
      <c r="A11" s="26" t="s">
        <v>133</v>
      </c>
      <c r="B11" s="6">
        <f>B7+B8</f>
        <v>25000</v>
      </c>
      <c r="C11" s="6">
        <f>C7+C8</f>
        <v>25500</v>
      </c>
      <c r="D11" s="28" t="str">
        <f>A7&amp;" + "&amp;A8</f>
        <v>Priame náklady na vyrobené výrobky spolu (€) + Nepriame náklady na výrobu (výrobná réžia) (€)</v>
      </c>
    </row>
    <row r="12" spans="1:5" ht="31.5" outlineLevel="1">
      <c r="A12" s="26" t="s">
        <v>134</v>
      </c>
      <c r="B12" s="6">
        <f>B10-B11</f>
        <v>-5000</v>
      </c>
      <c r="C12" s="6">
        <f>C10-C11</f>
        <v>-5500</v>
      </c>
      <c r="D12" s="28" t="str">
        <f>A10&amp;" - "&amp;A11&amp;"; v prípade variantu 1 teda: "&amp;FIXED(B10)&amp;" - "&amp;FIXED(B11)</f>
        <v>Tržby (€) - Náklady spolu (€); v prípade variantu 1 teda: 20 000,00 - 25 000,00</v>
      </c>
    </row>
    <row r="13" spans="1:5" ht="47.25" outlineLevel="1">
      <c r="A13" s="26" t="s">
        <v>138</v>
      </c>
      <c r="B13" s="6">
        <f>B11</f>
        <v>25000</v>
      </c>
      <c r="C13" s="6">
        <f>C11</f>
        <v>25500</v>
      </c>
      <c r="D13" s="28" t="s">
        <v>135</v>
      </c>
    </row>
    <row r="14" spans="1:5" ht="60" outlineLevel="1">
      <c r="A14" s="26" t="s">
        <v>136</v>
      </c>
      <c r="B14" s="6">
        <f>B13/B3*B4</f>
        <v>25000</v>
      </c>
      <c r="C14" s="6">
        <f>C13/C3*C4</f>
        <v>23181.818181818184</v>
      </c>
      <c r="D14" s="28" t="str">
        <f>A13&amp;" / "&amp;A3&amp;" x "&amp;A4&amp;"; v prípade variantu 1 by to teda bolo: "&amp;FIXED(B13)&amp;" / "&amp;FIXED(B3)&amp;" x "&amp;FIXED(B4)</f>
        <v>Zmena stavu zásob (účtovaná ako prírastok výnosov) zodpovedajúca všetkým vyrobeným  zásobám  / Objem výroby (ks) x Objem predaja (ks); v prípade variantu 1 by to teda bolo: 25 000,00 / 1 000,00 x 1 000,00</v>
      </c>
    </row>
    <row r="15" spans="1:5" ht="31.5" outlineLevel="1">
      <c r="A15" s="26" t="s">
        <v>139</v>
      </c>
      <c r="B15" s="6">
        <f>B12+B13-B14</f>
        <v>-5000</v>
      </c>
      <c r="C15" s="6">
        <f>C12+C13-C14</f>
        <v>-3181.8181818181838</v>
      </c>
      <c r="D15" s="10" t="str">
        <f>"V prípade variantu 1: "&amp;FIXED(B12)&amp;" + "&amp;FIXED(B13)&amp;" - "&amp;FIXED(B14)&amp;"; v prípade variantu 2: "&amp;FIXED(C12)&amp;" + "&amp;FIXED(C13)&amp;" - "&amp;FIXED(C14)</f>
        <v>V prípade variantu 1: -5 000,00 + 25 000,00 - 25 000,00; v prípade variantu 2: -5 500,00 + 25 500,00 - 23 181,82</v>
      </c>
    </row>
    <row r="16" spans="1:5" ht="31.5" outlineLevel="1">
      <c r="A16" s="26" t="s">
        <v>140</v>
      </c>
      <c r="B16" s="125">
        <f>C15-B15</f>
        <v>1818.1818181818162</v>
      </c>
      <c r="C16" s="126"/>
      <c r="D16" s="10" t="str">
        <f>" = "&amp;FIXED(C15)&amp;" - ("&amp;FIXED(B15)&amp;")"</f>
        <v xml:space="preserve"> = -3 181,82 - (-5 000,00)</v>
      </c>
    </row>
    <row r="18" spans="1:5" ht="30">
      <c r="A18" s="127" t="s">
        <v>258</v>
      </c>
      <c r="B18" s="127"/>
      <c r="C18" s="128"/>
      <c r="D18" s="129"/>
      <c r="E18" s="10" t="s">
        <v>225</v>
      </c>
    </row>
    <row r="19" spans="1:5" ht="15.75" outlineLevel="1">
      <c r="A19" s="24"/>
      <c r="B19" s="25" t="s">
        <v>125</v>
      </c>
      <c r="C19" s="25" t="s">
        <v>126</v>
      </c>
    </row>
    <row r="20" spans="1:5" ht="15.75" outlineLevel="1">
      <c r="A20" s="26" t="s">
        <v>14</v>
      </c>
      <c r="B20" s="29">
        <f>B3</f>
        <v>1000</v>
      </c>
      <c r="C20" s="6">
        <f>ROUNDUP(B20*1.2,0)</f>
        <v>1200</v>
      </c>
      <c r="D20" s="28" t="s">
        <v>141</v>
      </c>
    </row>
    <row r="21" spans="1:5" ht="15.75" outlineLevel="1">
      <c r="A21" s="26" t="s">
        <v>124</v>
      </c>
      <c r="B21" s="6">
        <f>B20</f>
        <v>1000</v>
      </c>
      <c r="C21" s="6">
        <f>B21</f>
        <v>1000</v>
      </c>
      <c r="D21" s="28" t="s">
        <v>141</v>
      </c>
    </row>
    <row r="22" spans="1:5" ht="15.75" outlineLevel="1">
      <c r="A22" s="26" t="s">
        <v>128</v>
      </c>
      <c r="B22" s="27" t="s">
        <v>62</v>
      </c>
      <c r="C22" s="6">
        <f>C20-C21</f>
        <v>200</v>
      </c>
      <c r="D22" s="28" t="s">
        <v>141</v>
      </c>
    </row>
    <row r="23" spans="1:5" ht="15.75" outlineLevel="1">
      <c r="A23" s="26" t="s">
        <v>129</v>
      </c>
      <c r="B23" s="29">
        <f>B6</f>
        <v>5</v>
      </c>
      <c r="C23" s="29">
        <f>C6</f>
        <v>5</v>
      </c>
      <c r="D23" s="28" t="s">
        <v>141</v>
      </c>
    </row>
    <row r="24" spans="1:5" ht="15.75" outlineLevel="1">
      <c r="A24" s="26" t="s">
        <v>130</v>
      </c>
      <c r="B24" s="29">
        <f>B23*B20</f>
        <v>5000</v>
      </c>
      <c r="C24" s="29">
        <f>C23*C20</f>
        <v>6000</v>
      </c>
      <c r="D24" s="28" t="s">
        <v>141</v>
      </c>
    </row>
    <row r="25" spans="1:5" ht="30" outlineLevel="1">
      <c r="A25" s="26" t="s">
        <v>131</v>
      </c>
      <c r="B25" s="29">
        <f>B8</f>
        <v>20000</v>
      </c>
      <c r="C25" s="29">
        <f>C8</f>
        <v>20000</v>
      </c>
      <c r="D25" s="28" t="s">
        <v>142</v>
      </c>
    </row>
    <row r="26" spans="1:5" ht="15.75" outlineLevel="1">
      <c r="A26" s="26" t="s">
        <v>132</v>
      </c>
      <c r="B26" s="29">
        <f>B9</f>
        <v>20</v>
      </c>
      <c r="C26" s="29">
        <f>C9</f>
        <v>20</v>
      </c>
      <c r="D26" s="28" t="s">
        <v>141</v>
      </c>
    </row>
    <row r="27" spans="1:5" ht="30" outlineLevel="1">
      <c r="A27" s="26" t="s">
        <v>30</v>
      </c>
      <c r="B27" s="6">
        <f>B26*B21</f>
        <v>20000</v>
      </c>
      <c r="C27" s="6">
        <f>C26*C21</f>
        <v>20000</v>
      </c>
      <c r="D27" s="28" t="str">
        <f>A21&amp;" x "&amp;A26&amp;"; v prípade variantu 1 by to bolo: "&amp;FIXED(B21)&amp;" x "&amp;FIXED(B26)</f>
        <v>Objem predaja (ks) x Predajná cena (€/ks); v prípade variantu 1 by to bolo: 1 000,00 x 20,00</v>
      </c>
    </row>
    <row r="28" spans="1:5" ht="30" outlineLevel="1">
      <c r="A28" s="26" t="s">
        <v>133</v>
      </c>
      <c r="B28" s="6">
        <f>B24+B25</f>
        <v>25000</v>
      </c>
      <c r="C28" s="6">
        <f>C24+C25</f>
        <v>26000</v>
      </c>
      <c r="D28" s="28" t="str">
        <f>A24&amp;" + "&amp;A25</f>
        <v>Priame náklady na vyrobené výrobky spolu (€) + Nepriame náklady na výrobu (výrobná réžia) (€)</v>
      </c>
    </row>
    <row r="29" spans="1:5" ht="31.5" outlineLevel="1">
      <c r="A29" s="26" t="s">
        <v>134</v>
      </c>
      <c r="B29" s="6">
        <f>B27-B28</f>
        <v>-5000</v>
      </c>
      <c r="C29" s="6">
        <f>C27-C28</f>
        <v>-6000</v>
      </c>
      <c r="D29" s="28" t="str">
        <f>A27&amp;" - "&amp;A28&amp;"; v prípade variantu 1 teda: "&amp;FIXED(B27)&amp;" - "&amp;FIXED(B28)</f>
        <v>Tržby (€) - Náklady spolu (€); v prípade variantu 1 teda: 20 000,00 - 25 000,00</v>
      </c>
    </row>
    <row r="30" spans="1:5" ht="47.25" outlineLevel="1">
      <c r="A30" s="26" t="s">
        <v>138</v>
      </c>
      <c r="B30" s="6">
        <f>B24</f>
        <v>5000</v>
      </c>
      <c r="C30" s="6">
        <f>C24</f>
        <v>6000</v>
      </c>
      <c r="D30" s="28" t="s">
        <v>143</v>
      </c>
    </row>
    <row r="31" spans="1:5" ht="60" outlineLevel="1">
      <c r="A31" s="26" t="s">
        <v>136</v>
      </c>
      <c r="B31" s="6">
        <f>B30/B20*B21</f>
        <v>5000</v>
      </c>
      <c r="C31" s="6">
        <f>C30/C20*C21</f>
        <v>5000</v>
      </c>
      <c r="D31" s="28" t="str">
        <f>A30&amp;" / "&amp;A20&amp;" x "&amp;A21&amp;"; v prípade variantu 1 by to teda bolo: "&amp;FIXED(B30)&amp;" / "&amp;FIXED(B20)&amp;" x "&amp;FIXED(B21)</f>
        <v>Zmena stavu zásob (účtovaná ako prírastok výnosov) zodpovedajúca všetkým vyrobeným  zásobám  / Objem výroby (ks) x Objem predaja (ks); v prípade variantu 1 by to teda bolo: 5 000,00 / 1 000,00 x 1 000,00</v>
      </c>
    </row>
    <row r="32" spans="1:5" ht="31.5" outlineLevel="1">
      <c r="A32" s="26" t="s">
        <v>139</v>
      </c>
      <c r="B32" s="6">
        <f>B29+B30-B31</f>
        <v>-5000</v>
      </c>
      <c r="C32" s="6">
        <f>C29+C30-C31</f>
        <v>-5000</v>
      </c>
      <c r="D32" s="10" t="str">
        <f>"V prípade variantu 1: "&amp;FIXED(B29)&amp;" + "&amp;FIXED(B30)&amp;" - "&amp;FIXED(B31)&amp;"; v prípade variantu 2: "&amp;FIXED(C29)&amp;" + "&amp;FIXED(C30)&amp;" - "&amp;FIXED(C31)</f>
        <v>V prípade variantu 1: -5 000,00 + 5 000,00 - 5 000,00; v prípade variantu 2: -6 000,00 + 6 000,00 - 5 000,00</v>
      </c>
    </row>
    <row r="33" spans="1:5" ht="31.5" outlineLevel="1">
      <c r="A33" s="26" t="s">
        <v>140</v>
      </c>
      <c r="B33" s="125">
        <f>C32-B32</f>
        <v>0</v>
      </c>
      <c r="C33" s="126"/>
      <c r="D33" s="10" t="str">
        <f>" = "&amp;FIXED(C32)&amp;" - ("&amp;FIXED(B32)&amp;")"</f>
        <v xml:space="preserve"> = -5 000,00 - (-5 000,00)</v>
      </c>
    </row>
    <row r="34" spans="1:5" ht="30">
      <c r="A34" s="130" t="s">
        <v>269</v>
      </c>
      <c r="B34" s="130"/>
      <c r="C34" s="102"/>
      <c r="D34" s="131"/>
      <c r="E34" s="10" t="s">
        <v>225</v>
      </c>
    </row>
  </sheetData>
  <sheetProtection algorithmName="SHA-512" hashValue="tnWrfcwoNODDZFKim7svP5OgWtFehIT6OqMzq4FN/0qIUkezDdY4dLlAh/X/g+//YMLFr/8pvT1XkUkHYbjDyg==" saltValue="8OnjVfEIKPXmyGjAJFFfkQ==" spinCount="100000" sheet="1" objects="1" scenarios="1" formatColumns="0" formatRows="0"/>
  <mergeCells count="6">
    <mergeCell ref="B33:C33"/>
    <mergeCell ref="A1:D1"/>
    <mergeCell ref="B16:C16"/>
    <mergeCell ref="A18:D18"/>
    <mergeCell ref="A34:D34"/>
    <mergeCell ref="D4:D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5"/>
  <sheetViews>
    <sheetView zoomScaleNormal="100" zoomScaleSheetLayoutView="50" workbookViewId="0">
      <selection activeCell="E10" sqref="E10"/>
    </sheetView>
  </sheetViews>
  <sheetFormatPr defaultRowHeight="15" outlineLevelRow="1"/>
  <cols>
    <col min="1" max="1" width="36.7109375" style="1" bestFit="1" customWidth="1"/>
    <col min="2" max="2" width="9.42578125" style="1" bestFit="1" customWidth="1"/>
    <col min="3" max="3" width="11.5703125" style="1" bestFit="1" customWidth="1"/>
    <col min="4" max="4" width="8" style="1" bestFit="1" customWidth="1"/>
    <col min="5" max="9" width="11.5703125" style="1" bestFit="1" customWidth="1"/>
    <col min="10" max="10" width="6.5703125" style="1" bestFit="1" customWidth="1"/>
    <col min="11" max="11" width="9.42578125" style="1" bestFit="1" customWidth="1"/>
    <col min="12" max="13" width="11.5703125" style="1" bestFit="1" customWidth="1"/>
    <col min="14" max="14" width="13" style="1" bestFit="1" customWidth="1"/>
    <col min="15" max="15" width="2.140625" style="1" customWidth="1"/>
    <col min="16" max="16" width="161.140625" style="1" hidden="1" customWidth="1"/>
    <col min="17" max="16384" width="9.140625" style="1"/>
  </cols>
  <sheetData>
    <row r="1" spans="1:16" ht="15.75">
      <c r="A1" s="127" t="s">
        <v>259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ht="30" outlineLevel="1">
      <c r="A2" s="40" t="s">
        <v>147</v>
      </c>
      <c r="B2" s="134" t="s">
        <v>148</v>
      </c>
      <c r="C2" s="134"/>
      <c r="D2" s="134"/>
      <c r="P2" s="1" t="s">
        <v>148</v>
      </c>
    </row>
    <row r="3" spans="1:16" ht="30" outlineLevel="1">
      <c r="A3" s="40" t="s">
        <v>159</v>
      </c>
      <c r="B3" s="44">
        <v>10</v>
      </c>
      <c r="C3" s="133" t="s">
        <v>160</v>
      </c>
      <c r="D3" s="102"/>
      <c r="F3" s="95" t="s">
        <v>161</v>
      </c>
      <c r="G3" s="95"/>
      <c r="H3" s="95"/>
      <c r="I3" s="95"/>
      <c r="J3" s="95"/>
      <c r="K3" s="95"/>
      <c r="L3" s="95"/>
      <c r="M3" s="95"/>
      <c r="N3" s="3"/>
      <c r="P3" s="1" t="s">
        <v>149</v>
      </c>
    </row>
    <row r="4" spans="1:16" ht="30" outlineLevel="1">
      <c r="A4" s="40" t="s">
        <v>162</v>
      </c>
      <c r="B4" s="43">
        <v>0.2</v>
      </c>
      <c r="C4" s="133" t="s">
        <v>163</v>
      </c>
      <c r="D4" s="140"/>
      <c r="F4" s="95" t="s">
        <v>164</v>
      </c>
      <c r="G4" s="95"/>
      <c r="H4" s="95"/>
      <c r="I4" s="95"/>
      <c r="J4" s="95"/>
      <c r="K4" s="95"/>
      <c r="L4" s="95"/>
      <c r="M4" s="95"/>
      <c r="N4" s="3"/>
      <c r="P4" s="1" t="s">
        <v>150</v>
      </c>
    </row>
    <row r="5" spans="1:16" outlineLevel="1">
      <c r="P5" s="1" t="s">
        <v>151</v>
      </c>
    </row>
    <row r="6" spans="1:16" ht="15.75" outlineLevel="1">
      <c r="A6" s="5" t="s">
        <v>144</v>
      </c>
      <c r="B6" s="4" t="s">
        <v>165</v>
      </c>
      <c r="C6" s="4" t="s">
        <v>166</v>
      </c>
      <c r="D6" s="4" t="s">
        <v>167</v>
      </c>
      <c r="E6" s="4" t="s">
        <v>168</v>
      </c>
      <c r="F6" s="4" t="s">
        <v>169</v>
      </c>
      <c r="G6" s="4" t="s">
        <v>170</v>
      </c>
      <c r="H6" s="4" t="s">
        <v>171</v>
      </c>
      <c r="I6" s="4" t="s">
        <v>172</v>
      </c>
      <c r="J6" s="4" t="s">
        <v>173</v>
      </c>
      <c r="K6" s="4" t="s">
        <v>174</v>
      </c>
      <c r="L6" s="4" t="s">
        <v>175</v>
      </c>
      <c r="M6" s="4" t="s">
        <v>176</v>
      </c>
      <c r="N6" s="4" t="s">
        <v>61</v>
      </c>
      <c r="P6" s="1" t="s">
        <v>152</v>
      </c>
    </row>
    <row r="7" spans="1:16" ht="31.5" outlineLevel="1">
      <c r="A7" s="5" t="s">
        <v>146</v>
      </c>
      <c r="B7" s="34">
        <v>2.1</v>
      </c>
      <c r="C7" s="8">
        <f>B7/IF($B$2="februári",1+$B$3/100,1)</f>
        <v>1.9090909090909089</v>
      </c>
      <c r="D7" s="8">
        <f>C7/IF($B$2="marci",1+$B$3/100,1)</f>
        <v>1.9090909090909089</v>
      </c>
      <c r="E7" s="8">
        <f>D7/IF($B$2="apríli",1+$B$3/100,1)</f>
        <v>1.9090909090909089</v>
      </c>
      <c r="F7" s="8">
        <f>E7/IF($B$2="máji",1+$B$3/100,1)</f>
        <v>1.9090909090909089</v>
      </c>
      <c r="G7" s="8">
        <f>F7/IF($B$2="júni",1+$B$3/100,1)</f>
        <v>1.9090909090909089</v>
      </c>
      <c r="H7" s="8">
        <f>G7/IF($B$2="júli",1+$B$3/100,1)</f>
        <v>1.9090909090909089</v>
      </c>
      <c r="I7" s="8">
        <f>H7/IF($B$2="auguste",1+$B$3/100,1)</f>
        <v>1.9090909090909089</v>
      </c>
      <c r="J7" s="8">
        <f>I7/IF($B$2="septembri",1+$B$3/100,1)</f>
        <v>1.9090909090909089</v>
      </c>
      <c r="K7" s="8">
        <f>J7/IF($B$2="októbri",1+$B$3/100,1)</f>
        <v>1.9090909090909089</v>
      </c>
      <c r="L7" s="8">
        <f>K7/IF($B$2="novembri",1+$B$3/100,1)</f>
        <v>1.9090909090909089</v>
      </c>
      <c r="M7" s="8">
        <f>L7/IF($B$2="decembri",1+$B$3/100,1)</f>
        <v>1.9090909090909089</v>
      </c>
      <c r="N7" s="45" t="s">
        <v>62</v>
      </c>
      <c r="P7" s="1" t="s">
        <v>153</v>
      </c>
    </row>
    <row r="8" spans="1:16" ht="15.75" outlineLevel="1">
      <c r="A8" s="5" t="s">
        <v>145</v>
      </c>
      <c r="B8" s="34">
        <v>2.8</v>
      </c>
      <c r="C8" s="8">
        <f t="shared" ref="C8:M8" si="0">B8*(1+$B$4/100)</f>
        <v>2.8055999999999996</v>
      </c>
      <c r="D8" s="8">
        <f t="shared" si="0"/>
        <v>2.8112111999999998</v>
      </c>
      <c r="E8" s="8">
        <f t="shared" si="0"/>
        <v>2.8168336223999999</v>
      </c>
      <c r="F8" s="8">
        <f t="shared" si="0"/>
        <v>2.8224672896447998</v>
      </c>
      <c r="G8" s="8">
        <f t="shared" si="0"/>
        <v>2.8281122242240895</v>
      </c>
      <c r="H8" s="8">
        <f t="shared" si="0"/>
        <v>2.8337684486725379</v>
      </c>
      <c r="I8" s="8">
        <f t="shared" si="0"/>
        <v>2.839435985569883</v>
      </c>
      <c r="J8" s="8">
        <f t="shared" si="0"/>
        <v>2.8451148575410228</v>
      </c>
      <c r="K8" s="8">
        <f t="shared" si="0"/>
        <v>2.8508050872561048</v>
      </c>
      <c r="L8" s="8">
        <f t="shared" si="0"/>
        <v>2.8565066974306172</v>
      </c>
      <c r="M8" s="8">
        <f t="shared" si="0"/>
        <v>2.8622197108254785</v>
      </c>
      <c r="N8" s="45" t="s">
        <v>62</v>
      </c>
      <c r="P8" s="1" t="s">
        <v>154</v>
      </c>
    </row>
    <row r="9" spans="1:16" ht="31.5" outlineLevel="1">
      <c r="A9" s="5" t="s">
        <v>177</v>
      </c>
      <c r="B9" s="8">
        <f t="shared" ref="B9:M9" si="1">B7*B8</f>
        <v>5.88</v>
      </c>
      <c r="C9" s="8">
        <f t="shared" si="1"/>
        <v>5.3561454545454534</v>
      </c>
      <c r="D9" s="8">
        <f t="shared" si="1"/>
        <v>5.3668577454545447</v>
      </c>
      <c r="E9" s="8">
        <f t="shared" si="1"/>
        <v>5.377591460945454</v>
      </c>
      <c r="F9" s="8">
        <f t="shared" si="1"/>
        <v>5.3883466438673446</v>
      </c>
      <c r="G9" s="8">
        <f t="shared" si="1"/>
        <v>5.3991233371550793</v>
      </c>
      <c r="H9" s="8">
        <f t="shared" si="1"/>
        <v>5.4099215838293899</v>
      </c>
      <c r="I9" s="8">
        <f t="shared" si="1"/>
        <v>5.4207414269970489</v>
      </c>
      <c r="J9" s="8">
        <f t="shared" si="1"/>
        <v>5.4315829098510431</v>
      </c>
      <c r="K9" s="8">
        <f t="shared" si="1"/>
        <v>5.4424460756707456</v>
      </c>
      <c r="L9" s="8">
        <f t="shared" si="1"/>
        <v>5.4533309678220867</v>
      </c>
      <c r="M9" s="8">
        <f t="shared" si="1"/>
        <v>5.4642376297577311</v>
      </c>
      <c r="N9" s="45" t="s">
        <v>62</v>
      </c>
      <c r="P9" s="1" t="s">
        <v>155</v>
      </c>
    </row>
    <row r="10" spans="1:16" ht="15.75" outlineLevel="1">
      <c r="A10" s="5" t="s">
        <v>178</v>
      </c>
      <c r="B10" s="19">
        <v>100</v>
      </c>
      <c r="C10" s="19">
        <v>200</v>
      </c>
      <c r="D10" s="19">
        <v>3</v>
      </c>
      <c r="E10" s="19">
        <v>400</v>
      </c>
      <c r="F10" s="19">
        <v>400</v>
      </c>
      <c r="G10" s="19">
        <v>500</v>
      </c>
      <c r="H10" s="19">
        <v>600</v>
      </c>
      <c r="I10" s="19">
        <v>1000</v>
      </c>
      <c r="J10" s="19">
        <v>0</v>
      </c>
      <c r="K10" s="19">
        <v>100</v>
      </c>
      <c r="L10" s="19">
        <v>200</v>
      </c>
      <c r="M10" s="19">
        <v>300</v>
      </c>
      <c r="N10" s="46">
        <f>SUM(B10:M10)</f>
        <v>3803</v>
      </c>
      <c r="P10" s="1" t="s">
        <v>156</v>
      </c>
    </row>
    <row r="11" spans="1:16" ht="31.5" outlineLevel="1">
      <c r="A11" s="5" t="s">
        <v>183</v>
      </c>
      <c r="B11" s="29">
        <f t="shared" ref="B11:M11" si="2">B10*B9</f>
        <v>588</v>
      </c>
      <c r="C11" s="29">
        <f t="shared" si="2"/>
        <v>1071.2290909090907</v>
      </c>
      <c r="D11" s="29">
        <f t="shared" si="2"/>
        <v>16.100573236363633</v>
      </c>
      <c r="E11" s="29">
        <f t="shared" si="2"/>
        <v>2151.0365843781815</v>
      </c>
      <c r="F11" s="29">
        <f t="shared" si="2"/>
        <v>2155.3386575469381</v>
      </c>
      <c r="G11" s="29">
        <f t="shared" si="2"/>
        <v>2699.5616685775399</v>
      </c>
      <c r="H11" s="29">
        <f t="shared" si="2"/>
        <v>3245.9529502976338</v>
      </c>
      <c r="I11" s="29">
        <f t="shared" si="2"/>
        <v>5420.7414269970486</v>
      </c>
      <c r="J11" s="29">
        <f t="shared" si="2"/>
        <v>0</v>
      </c>
      <c r="K11" s="29">
        <f t="shared" si="2"/>
        <v>544.24460756707458</v>
      </c>
      <c r="L11" s="29">
        <f t="shared" si="2"/>
        <v>1090.6661935644174</v>
      </c>
      <c r="M11" s="29">
        <f t="shared" si="2"/>
        <v>1639.2712889273193</v>
      </c>
      <c r="N11" s="29">
        <f>SUM(B11:M11)</f>
        <v>20622.143042001611</v>
      </c>
      <c r="P11" s="1" t="s">
        <v>157</v>
      </c>
    </row>
    <row r="12" spans="1:16" outlineLevel="1">
      <c r="A12" s="139" t="s">
        <v>184</v>
      </c>
      <c r="B12" s="132" t="s">
        <v>179</v>
      </c>
      <c r="C12" s="132"/>
      <c r="D12" s="132"/>
      <c r="E12" s="132" t="s">
        <v>182</v>
      </c>
      <c r="F12" s="132"/>
      <c r="G12" s="132"/>
      <c r="H12" s="132" t="s">
        <v>181</v>
      </c>
      <c r="I12" s="132"/>
      <c r="J12" s="132"/>
      <c r="K12" s="132" t="s">
        <v>180</v>
      </c>
      <c r="L12" s="132"/>
      <c r="M12" s="132"/>
      <c r="N12" s="45" t="s">
        <v>62</v>
      </c>
      <c r="P12" s="1" t="s">
        <v>158</v>
      </c>
    </row>
    <row r="13" spans="1:16" outlineLevel="1">
      <c r="A13" s="139"/>
      <c r="B13" s="132" t="str">
        <f>FIXED(SUM(B11:D11)/SUM(B10:D10))</f>
        <v>5,53</v>
      </c>
      <c r="C13" s="132"/>
      <c r="D13" s="132"/>
      <c r="E13" s="132" t="str">
        <f>FIXED(SUM(E11:G11)/SUM(E10:G10))</f>
        <v>5,39</v>
      </c>
      <c r="F13" s="132"/>
      <c r="G13" s="132"/>
      <c r="H13" s="132" t="str">
        <f>FIXED(SUM(H11:J11)/SUM(H10:J10))</f>
        <v>5,42</v>
      </c>
      <c r="I13" s="132"/>
      <c r="J13" s="132"/>
      <c r="K13" s="132" t="str">
        <f>FIXED(SUM(K11:M11)/SUM(K10:M10))</f>
        <v>5,46</v>
      </c>
      <c r="L13" s="132"/>
      <c r="M13" s="132"/>
      <c r="N13" s="45" t="s">
        <v>62</v>
      </c>
    </row>
    <row r="14" spans="1:16" ht="30" outlineLevel="1">
      <c r="A14" s="139"/>
      <c r="B14" s="135" t="str">
        <f>"Výpočet: "&amp;A11&amp;" za celý štvrťrok / "&amp;A10&amp;" za celý štvrťrok; v prípade 1. štvrťroku teda: ("&amp;FIXED(B11)&amp;" + "&amp;FIXED(C11)&amp;" + "&amp;FIXED(D11)&amp;") / ("&amp;B10&amp;" + "&amp;C10&amp;" +  "&amp;D10&amp;")"</f>
        <v>Výpočet: Priamy materiál na celú produkciu (€) za celý štvrťrok / Plánovaný objem výroby (ks) za celý štvrťrok; v prípade 1. štvrťroku teda: (588,00 + 1 071,23 + 16,10) / (100 + 200 +  3)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45" t="s">
        <v>62</v>
      </c>
      <c r="P14" s="1" t="s">
        <v>225</v>
      </c>
    </row>
    <row r="15" spans="1:16" outlineLevel="1">
      <c r="A15" s="139" t="s">
        <v>185</v>
      </c>
      <c r="B15" s="132" t="s">
        <v>186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45" t="s">
        <v>62</v>
      </c>
    </row>
    <row r="16" spans="1:16" outlineLevel="1">
      <c r="A16" s="139"/>
      <c r="B16" s="136" t="str">
        <f>FIXED(N11/N10)</f>
        <v>5,42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45" t="s">
        <v>62</v>
      </c>
    </row>
    <row r="17" spans="1:16" outlineLevel="1">
      <c r="A17" s="139"/>
      <c r="B17" s="135" t="str">
        <f>"Výpočet: Priamy materál na celú produkciu za celý rok spolu / Plánovaný objem výroby za celý rok spolu; konkrétne teda: "&amp;N11&amp;" / "&amp;N10</f>
        <v>Výpočet: Priamy materál na celú produkciu za celý rok spolu / Plánovaný objem výroby za celý rok spolu; konkrétne teda: 20622,1430420016 / 3803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45" t="s">
        <v>62</v>
      </c>
      <c r="P17" s="1" t="s">
        <v>246</v>
      </c>
    </row>
    <row r="19" spans="1:16" ht="15.75">
      <c r="A19" s="127" t="s">
        <v>192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6" ht="15.75" outlineLevel="1">
      <c r="A20" s="147" t="s">
        <v>187</v>
      </c>
      <c r="B20" s="148"/>
      <c r="C20" s="148"/>
      <c r="D20" s="148"/>
      <c r="E20" s="148"/>
      <c r="F20" s="148"/>
      <c r="G20" s="148"/>
      <c r="H20" s="149"/>
      <c r="I20" s="147" t="s">
        <v>191</v>
      </c>
      <c r="J20" s="148"/>
      <c r="K20" s="148"/>
      <c r="L20" s="148"/>
      <c r="M20" s="148"/>
      <c r="N20" s="149"/>
      <c r="P20" s="1" t="s">
        <v>188</v>
      </c>
    </row>
    <row r="21" spans="1:16" outlineLevel="1">
      <c r="A21" s="145" t="s">
        <v>188</v>
      </c>
      <c r="B21" s="145"/>
      <c r="C21" s="145"/>
      <c r="D21" s="145"/>
      <c r="E21" s="145"/>
      <c r="F21" s="145"/>
      <c r="G21" s="145"/>
      <c r="H21" s="145"/>
      <c r="I21" s="146" t="str">
        <f>IF(A21=P20,"prepočtová kalkulácia",IF(A21=P21,"operatívna kalkulácia",IF(A21=P22,"plánová kalkulácia","zvoľte situáciu nastavením kurzoru na bunku vľavo a výberom s pomocou šípky")))</f>
        <v>prepočtová kalkulácia</v>
      </c>
      <c r="J21" s="146"/>
      <c r="K21" s="146"/>
      <c r="L21" s="146"/>
      <c r="M21" s="146"/>
      <c r="N21" s="146"/>
      <c r="P21" s="1" t="s">
        <v>190</v>
      </c>
    </row>
    <row r="22" spans="1:16">
      <c r="P22" s="1" t="s">
        <v>189</v>
      </c>
    </row>
    <row r="23" spans="1:16" ht="15.75">
      <c r="A23" s="94" t="s">
        <v>17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6" outlineLevel="1">
      <c r="A24" s="141" t="s">
        <v>18</v>
      </c>
      <c r="B24" s="141"/>
      <c r="C24" s="142">
        <v>20000</v>
      </c>
      <c r="D24" s="142"/>
      <c r="E24" s="12"/>
    </row>
    <row r="25" spans="1:16" outlineLevel="1">
      <c r="A25" s="141" t="s">
        <v>20</v>
      </c>
      <c r="B25" s="141"/>
      <c r="C25" s="143">
        <v>0.14149999999999999</v>
      </c>
      <c r="D25" s="143"/>
      <c r="E25" s="12"/>
    </row>
    <row r="26" spans="1:16" outlineLevel="1">
      <c r="A26" s="141" t="s">
        <v>19</v>
      </c>
      <c r="B26" s="141"/>
      <c r="C26" s="144">
        <f>C24*C25</f>
        <v>2829.9999999999995</v>
      </c>
      <c r="D26" s="144"/>
      <c r="E26" s="12"/>
    </row>
    <row r="27" spans="1:16" outlineLevel="1">
      <c r="A27" s="141" t="s">
        <v>16</v>
      </c>
      <c r="B27" s="141"/>
      <c r="C27" s="144">
        <f>C24-C26</f>
        <v>17170</v>
      </c>
      <c r="D27" s="144"/>
      <c r="E27" s="12"/>
    </row>
    <row r="28" spans="1:16" ht="15" customHeight="1" outlineLevel="1">
      <c r="A28" s="95" t="s">
        <v>222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P28" s="1" t="str">
        <f>A28</f>
        <v>Kalkulácia cieľových nákladov patrí medzi predbežné kalkulácie (a v rámci nich medzi prepočtové kalkulácie) a využíva sa v strategickom manažérskom účtovníctve</v>
      </c>
    </row>
    <row r="31" spans="1:16" ht="15.75" customHeight="1"/>
    <row r="33" ht="15" customHeight="1"/>
    <row r="35" ht="15" customHeight="1"/>
  </sheetData>
  <sheetProtection algorithmName="SHA-512" hashValue="K3BCV6rHHoIJALx94AVQtPr0aych47r4Bi73IvRxOEu2T90qJOJ0mPZ78WF/r2+XHBL10SU2qWrogQvLCNdOnA==" saltValue="hpifD7nnyQ2sOI0bcxgPJg==" spinCount="100000" sheet="1" objects="1" scenarios="1" formatColumns="0" formatRows="0"/>
  <mergeCells count="35">
    <mergeCell ref="A21:H21"/>
    <mergeCell ref="I21:N21"/>
    <mergeCell ref="A20:H20"/>
    <mergeCell ref="I20:N20"/>
    <mergeCell ref="A15:A17"/>
    <mergeCell ref="A28:N28"/>
    <mergeCell ref="A23:N23"/>
    <mergeCell ref="A24:B24"/>
    <mergeCell ref="A25:B25"/>
    <mergeCell ref="A26:B26"/>
    <mergeCell ref="A27:B27"/>
    <mergeCell ref="C24:D24"/>
    <mergeCell ref="C25:D25"/>
    <mergeCell ref="C26:D26"/>
    <mergeCell ref="C27:D27"/>
    <mergeCell ref="A1:N1"/>
    <mergeCell ref="A19:N19"/>
    <mergeCell ref="B13:D13"/>
    <mergeCell ref="E13:G13"/>
    <mergeCell ref="H13:J13"/>
    <mergeCell ref="K13:M13"/>
    <mergeCell ref="B14:M14"/>
    <mergeCell ref="A12:A14"/>
    <mergeCell ref="C4:D4"/>
    <mergeCell ref="F4:M4"/>
    <mergeCell ref="B12:D12"/>
    <mergeCell ref="E12:G12"/>
    <mergeCell ref="H12:J12"/>
    <mergeCell ref="F3:M3"/>
    <mergeCell ref="K12:M12"/>
    <mergeCell ref="C3:D3"/>
    <mergeCell ref="B2:D2"/>
    <mergeCell ref="B15:M15"/>
    <mergeCell ref="B17:M17"/>
    <mergeCell ref="B16:M16"/>
  </mergeCells>
  <dataValidations count="4">
    <dataValidation type="decimal" allowBlank="1" showInputMessage="1" showErrorMessage="1" sqref="B4">
      <formula1>0.1</formula1>
      <formula2>0.5</formula2>
    </dataValidation>
    <dataValidation type="decimal" allowBlank="1" showInputMessage="1" showErrorMessage="1" sqref="B3">
      <formula1>5</formula1>
      <formula2>30</formula2>
    </dataValidation>
    <dataValidation type="list" allowBlank="1" showInputMessage="1" showErrorMessage="1" sqref="A21">
      <formula1>$P$20:$P$22</formula1>
    </dataValidation>
    <dataValidation type="list" allowBlank="1" showInputMessage="1" showErrorMessage="1" sqref="B2">
      <formula1>$P$2:$P$12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1"/>
  <sheetViews>
    <sheetView zoomScaleNormal="100" zoomScaleSheetLayoutView="110" workbookViewId="0">
      <selection activeCell="F18" sqref="F18"/>
    </sheetView>
  </sheetViews>
  <sheetFormatPr defaultRowHeight="12.75"/>
  <cols>
    <col min="1" max="1" width="5.7109375" style="152" customWidth="1"/>
    <col min="2" max="2" width="9.7109375" style="152" bestFit="1" customWidth="1"/>
    <col min="3" max="3" width="5.7109375" style="152" customWidth="1"/>
    <col min="4" max="4" width="9.7109375" style="152" bestFit="1" customWidth="1"/>
    <col min="5" max="5" width="4.28515625" style="152" customWidth="1"/>
    <col min="6" max="6" width="5.7109375" style="152" customWidth="1"/>
    <col min="7" max="7" width="9.7109375" style="152" bestFit="1" customWidth="1"/>
    <col min="8" max="8" width="5.7109375" style="152" customWidth="1"/>
    <col min="9" max="9" width="9.140625" style="152"/>
    <col min="10" max="10" width="4.28515625" style="152" customWidth="1"/>
    <col min="11" max="11" width="5.7109375" style="152" customWidth="1"/>
    <col min="12" max="12" width="9.140625" style="152"/>
    <col min="13" max="13" width="5.85546875" style="152" customWidth="1"/>
    <col min="14" max="14" width="9.7109375" style="152" bestFit="1" customWidth="1"/>
    <col min="15" max="15" width="4.28515625" style="152" customWidth="1"/>
    <col min="16" max="16" width="1.85546875" style="152" hidden="1" customWidth="1"/>
    <col min="17" max="17" width="69.28515625" style="152" bestFit="1" customWidth="1"/>
    <col min="18" max="16384" width="9.140625" style="152"/>
  </cols>
  <sheetData>
    <row r="1" spans="1:16">
      <c r="A1" s="151" t="s">
        <v>260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6" ht="25.5">
      <c r="A2" s="153" t="s">
        <v>284</v>
      </c>
      <c r="B2" s="153"/>
      <c r="C2" s="153"/>
      <c r="D2" s="153"/>
      <c r="F2" s="153" t="s">
        <v>193</v>
      </c>
      <c r="G2" s="153"/>
      <c r="H2" s="153"/>
      <c r="I2" s="153"/>
      <c r="K2" s="153" t="s">
        <v>209</v>
      </c>
      <c r="L2" s="153"/>
      <c r="M2" s="153"/>
      <c r="N2" s="153"/>
      <c r="P2" s="152" t="s">
        <v>225</v>
      </c>
    </row>
    <row r="3" spans="1:16">
      <c r="B3" s="154"/>
      <c r="C3" s="152" t="str">
        <f>A21</f>
        <v>1c)</v>
      </c>
      <c r="D3" s="152">
        <f>L21</f>
        <v>0</v>
      </c>
      <c r="F3" s="152" t="str">
        <f>A19</f>
        <v>1a)</v>
      </c>
      <c r="G3" s="154">
        <f>L19</f>
        <v>0</v>
      </c>
      <c r="L3" s="154"/>
      <c r="M3" s="152" t="str">
        <f>A26</f>
        <v>4)</v>
      </c>
      <c r="N3" s="152">
        <f>L26</f>
        <v>0</v>
      </c>
    </row>
    <row r="4" spans="1:16">
      <c r="B4" s="155"/>
      <c r="C4" s="156" t="s">
        <v>208</v>
      </c>
      <c r="D4" s="156">
        <f>L24</f>
        <v>0</v>
      </c>
      <c r="E4" s="156"/>
      <c r="F4" s="156" t="s">
        <v>205</v>
      </c>
      <c r="G4" s="155">
        <f>L22</f>
        <v>0</v>
      </c>
      <c r="K4" s="156"/>
      <c r="L4" s="155"/>
    </row>
    <row r="5" spans="1:16">
      <c r="B5" s="155"/>
      <c r="F5" s="152" t="str">
        <f>A25</f>
        <v>3)</v>
      </c>
      <c r="G5" s="155">
        <f>L25</f>
        <v>0</v>
      </c>
      <c r="L5" s="155"/>
    </row>
    <row r="6" spans="1:16">
      <c r="A6" s="157" t="s">
        <v>213</v>
      </c>
      <c r="B6" s="158">
        <f>SUM(B3:B5)</f>
        <v>0</v>
      </c>
      <c r="C6" s="157" t="s">
        <v>214</v>
      </c>
      <c r="D6" s="157">
        <f>SUM(D3:D5)</f>
        <v>0</v>
      </c>
      <c r="F6" s="157" t="s">
        <v>213</v>
      </c>
      <c r="G6" s="158">
        <f>SUM(G3:G5)</f>
        <v>0</v>
      </c>
      <c r="H6" s="157" t="s">
        <v>214</v>
      </c>
      <c r="I6" s="157">
        <f>SUM(I3:I5)</f>
        <v>0</v>
      </c>
      <c r="K6" s="157" t="s">
        <v>213</v>
      </c>
      <c r="L6" s="158">
        <f>SUM(L3:L5)</f>
        <v>0</v>
      </c>
      <c r="M6" s="157" t="s">
        <v>214</v>
      </c>
      <c r="N6" s="157">
        <f>SUM(N3:N5)</f>
        <v>0</v>
      </c>
    </row>
    <row r="8" spans="1:16" ht="25.5">
      <c r="A8" s="153" t="s">
        <v>283</v>
      </c>
      <c r="B8" s="153"/>
      <c r="C8" s="153"/>
      <c r="D8" s="153"/>
      <c r="F8" s="153" t="s">
        <v>194</v>
      </c>
      <c r="G8" s="153"/>
      <c r="H8" s="153"/>
      <c r="I8" s="153"/>
      <c r="K8" s="153" t="s">
        <v>210</v>
      </c>
      <c r="L8" s="153"/>
      <c r="M8" s="153"/>
      <c r="N8" s="153"/>
      <c r="P8" s="152" t="s">
        <v>225</v>
      </c>
    </row>
    <row r="9" spans="1:16">
      <c r="B9" s="154"/>
      <c r="F9" s="152" t="str">
        <f>A20</f>
        <v>1b)</v>
      </c>
      <c r="G9" s="154">
        <f>L20</f>
        <v>0</v>
      </c>
      <c r="L9" s="154"/>
      <c r="M9" s="152" t="str">
        <f>A25</f>
        <v>3)</v>
      </c>
      <c r="N9" s="152">
        <f>L25</f>
        <v>0</v>
      </c>
    </row>
    <row r="10" spans="1:16">
      <c r="B10" s="155"/>
      <c r="F10" s="156" t="s">
        <v>206</v>
      </c>
      <c r="G10" s="155">
        <f>L23</f>
        <v>0</v>
      </c>
      <c r="K10" s="156"/>
      <c r="L10" s="155"/>
      <c r="M10" s="152" t="s">
        <v>216</v>
      </c>
      <c r="N10" s="152">
        <f>L27</f>
        <v>0</v>
      </c>
    </row>
    <row r="11" spans="1:16">
      <c r="B11" s="155"/>
      <c r="G11" s="155"/>
      <c r="L11" s="155"/>
    </row>
    <row r="12" spans="1:16">
      <c r="A12" s="157" t="s">
        <v>213</v>
      </c>
      <c r="B12" s="158">
        <f>SUM(B9:B11)</f>
        <v>0</v>
      </c>
      <c r="C12" s="157" t="s">
        <v>214</v>
      </c>
      <c r="D12" s="157">
        <f>SUM(D9:D11)</f>
        <v>0</v>
      </c>
      <c r="F12" s="157" t="s">
        <v>213</v>
      </c>
      <c r="G12" s="158">
        <f>SUM(G9:G11)</f>
        <v>0</v>
      </c>
      <c r="H12" s="157" t="s">
        <v>214</v>
      </c>
      <c r="I12" s="157">
        <f>SUM(I9:I11)</f>
        <v>0</v>
      </c>
      <c r="K12" s="157" t="s">
        <v>213</v>
      </c>
      <c r="L12" s="158">
        <f>SUM(L9:L11)</f>
        <v>0</v>
      </c>
      <c r="M12" s="157" t="s">
        <v>214</v>
      </c>
      <c r="N12" s="157">
        <f>SUM(N9:N11)</f>
        <v>0</v>
      </c>
    </row>
    <row r="14" spans="1:16" ht="38.25">
      <c r="A14" s="153" t="s">
        <v>211</v>
      </c>
      <c r="B14" s="153"/>
      <c r="C14" s="153"/>
      <c r="D14" s="153"/>
      <c r="F14" s="159" t="s">
        <v>287</v>
      </c>
      <c r="G14" s="159"/>
      <c r="H14" s="159"/>
      <c r="I14" s="159"/>
      <c r="J14" s="159"/>
      <c r="K14" s="159"/>
      <c r="L14" s="159"/>
      <c r="M14" s="159"/>
      <c r="N14" s="159"/>
      <c r="P14" s="152" t="s">
        <v>229</v>
      </c>
    </row>
    <row r="15" spans="1:16">
      <c r="A15" s="152" t="str">
        <f>M3</f>
        <v>4)</v>
      </c>
      <c r="B15" s="154">
        <f>L26</f>
        <v>0</v>
      </c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6">
      <c r="B16" s="155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7" ht="25.5">
      <c r="A17" s="157" t="s">
        <v>213</v>
      </c>
      <c r="B17" s="158">
        <f>SUM(B14:B16)</f>
        <v>0</v>
      </c>
      <c r="C17" s="157" t="s">
        <v>214</v>
      </c>
      <c r="D17" s="157">
        <f>SUM(D14:D16)</f>
        <v>0</v>
      </c>
      <c r="F17" s="159"/>
      <c r="G17" s="159"/>
      <c r="H17" s="159"/>
      <c r="I17" s="159"/>
      <c r="J17" s="159"/>
      <c r="K17" s="159"/>
      <c r="L17" s="159"/>
      <c r="M17" s="159"/>
      <c r="N17" s="159"/>
      <c r="P17" s="152" t="s">
        <v>225</v>
      </c>
    </row>
    <row r="19" spans="1:17">
      <c r="A19" s="160" t="s">
        <v>195</v>
      </c>
      <c r="B19" s="161" t="s">
        <v>196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2"/>
      <c r="M19" s="162"/>
      <c r="N19" s="160" t="s">
        <v>197</v>
      </c>
    </row>
    <row r="20" spans="1:17">
      <c r="A20" s="160" t="s">
        <v>199</v>
      </c>
      <c r="B20" s="161" t="s">
        <v>198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2"/>
      <c r="M20" s="162"/>
      <c r="N20" s="160" t="s">
        <v>197</v>
      </c>
    </row>
    <row r="21" spans="1:17" ht="15" customHeight="1">
      <c r="A21" s="160" t="s">
        <v>200</v>
      </c>
      <c r="B21" s="163" t="s">
        <v>201</v>
      </c>
      <c r="C21" s="164"/>
      <c r="D21" s="164"/>
      <c r="E21" s="164"/>
      <c r="F21" s="164"/>
      <c r="G21" s="164"/>
      <c r="H21" s="164"/>
      <c r="I21" s="164"/>
      <c r="J21" s="164"/>
      <c r="K21" s="165"/>
      <c r="L21" s="166">
        <f>SUM(L19:M20)</f>
        <v>0</v>
      </c>
      <c r="M21" s="166"/>
      <c r="N21" s="160" t="s">
        <v>197</v>
      </c>
    </row>
    <row r="22" spans="1:17" ht="15" customHeight="1">
      <c r="A22" s="160" t="s">
        <v>205</v>
      </c>
      <c r="B22" s="163" t="s">
        <v>202</v>
      </c>
      <c r="C22" s="164"/>
      <c r="D22" s="164"/>
      <c r="E22" s="164"/>
      <c r="F22" s="164"/>
      <c r="G22" s="164"/>
      <c r="H22" s="164"/>
      <c r="I22" s="164"/>
      <c r="J22" s="164"/>
      <c r="K22" s="165"/>
      <c r="L22" s="162"/>
      <c r="M22" s="162"/>
      <c r="N22" s="160" t="s">
        <v>197</v>
      </c>
    </row>
    <row r="23" spans="1:17" ht="15" customHeight="1">
      <c r="A23" s="160" t="s">
        <v>206</v>
      </c>
      <c r="B23" s="163" t="s">
        <v>203</v>
      </c>
      <c r="C23" s="164"/>
      <c r="D23" s="164"/>
      <c r="E23" s="164"/>
      <c r="F23" s="164"/>
      <c r="G23" s="164"/>
      <c r="H23" s="164"/>
      <c r="I23" s="164"/>
      <c r="J23" s="164"/>
      <c r="K23" s="165"/>
      <c r="L23" s="162"/>
      <c r="M23" s="162"/>
      <c r="N23" s="160" t="s">
        <v>197</v>
      </c>
    </row>
    <row r="24" spans="1:17" ht="15" customHeight="1">
      <c r="A24" s="160" t="s">
        <v>207</v>
      </c>
      <c r="B24" s="163" t="s">
        <v>204</v>
      </c>
      <c r="C24" s="164"/>
      <c r="D24" s="164"/>
      <c r="E24" s="164"/>
      <c r="F24" s="164"/>
      <c r="G24" s="164"/>
      <c r="H24" s="164"/>
      <c r="I24" s="164"/>
      <c r="J24" s="164"/>
      <c r="K24" s="165"/>
      <c r="L24" s="166">
        <f>SUM(L22:M23)</f>
        <v>0</v>
      </c>
      <c r="M24" s="166"/>
      <c r="N24" s="160" t="s">
        <v>197</v>
      </c>
    </row>
    <row r="25" spans="1:17" ht="25.5">
      <c r="A25" s="160" t="s">
        <v>212</v>
      </c>
      <c r="B25" s="163" t="s">
        <v>288</v>
      </c>
      <c r="C25" s="164"/>
      <c r="D25" s="164"/>
      <c r="E25" s="164"/>
      <c r="F25" s="164"/>
      <c r="G25" s="164"/>
      <c r="H25" s="164"/>
      <c r="I25" s="164"/>
      <c r="J25" s="164"/>
      <c r="K25" s="165"/>
      <c r="L25" s="162"/>
      <c r="M25" s="162"/>
      <c r="N25" s="160" t="s">
        <v>197</v>
      </c>
      <c r="Q25" s="152" t="s">
        <v>225</v>
      </c>
    </row>
    <row r="26" spans="1:17" ht="25.5">
      <c r="A26" s="160" t="s">
        <v>215</v>
      </c>
      <c r="B26" s="163" t="s">
        <v>289</v>
      </c>
      <c r="C26" s="164"/>
      <c r="D26" s="164"/>
      <c r="E26" s="164"/>
      <c r="F26" s="164"/>
      <c r="G26" s="164"/>
      <c r="H26" s="164"/>
      <c r="I26" s="164"/>
      <c r="J26" s="164"/>
      <c r="K26" s="165"/>
      <c r="L26" s="162"/>
      <c r="M26" s="162"/>
      <c r="N26" s="160" t="s">
        <v>197</v>
      </c>
      <c r="Q26" s="152" t="s">
        <v>225</v>
      </c>
    </row>
    <row r="27" spans="1:17" ht="25.5">
      <c r="A27" s="160" t="s">
        <v>216</v>
      </c>
      <c r="B27" s="163" t="s">
        <v>290</v>
      </c>
      <c r="C27" s="164"/>
      <c r="D27" s="164"/>
      <c r="E27" s="164"/>
      <c r="F27" s="164"/>
      <c r="G27" s="164"/>
      <c r="H27" s="164"/>
      <c r="I27" s="164"/>
      <c r="J27" s="164"/>
      <c r="K27" s="165"/>
      <c r="L27" s="167"/>
      <c r="M27" s="167"/>
      <c r="N27" s="160" t="s">
        <v>197</v>
      </c>
      <c r="Q27" s="152" t="s">
        <v>225</v>
      </c>
    </row>
    <row r="29" spans="1:17" ht="89.25">
      <c r="A29" s="168" t="s">
        <v>291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Q29" s="152" t="s">
        <v>271</v>
      </c>
    </row>
    <row r="31" spans="1:17" ht="63.75">
      <c r="A31" s="169" t="s">
        <v>292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Q31" s="152" t="s">
        <v>247</v>
      </c>
    </row>
  </sheetData>
  <sheetProtection algorithmName="SHA-512" hashValue="P9LWrIdczHX6ZAQO33JU8p6QNAsAxQbHSdJ8CZSsgIQvATgY1lxT2PlgdmiKXdLNNcTbz5vPMUEIkt5wjZOxDw==" saltValue="IBeLPtxiQaaKqNTQDKwQlA==" spinCount="100000" sheet="1" objects="1" scenarios="1" formatColumns="0" formatRows="0"/>
  <mergeCells count="29">
    <mergeCell ref="A31:N31"/>
    <mergeCell ref="A29:N29"/>
    <mergeCell ref="L26:M26"/>
    <mergeCell ref="L27:M27"/>
    <mergeCell ref="B23:K23"/>
    <mergeCell ref="B27:K27"/>
    <mergeCell ref="B26:K26"/>
    <mergeCell ref="B25:K25"/>
    <mergeCell ref="B24:K24"/>
    <mergeCell ref="L24:M24"/>
    <mergeCell ref="L25:M25"/>
    <mergeCell ref="L21:M21"/>
    <mergeCell ref="L22:M22"/>
    <mergeCell ref="L23:M23"/>
    <mergeCell ref="F14:N17"/>
    <mergeCell ref="B22:K22"/>
    <mergeCell ref="A1:N1"/>
    <mergeCell ref="A14:D14"/>
    <mergeCell ref="L19:M19"/>
    <mergeCell ref="K2:N2"/>
    <mergeCell ref="K8:N8"/>
    <mergeCell ref="A2:D2"/>
    <mergeCell ref="F2:I2"/>
    <mergeCell ref="A8:D8"/>
    <mergeCell ref="F8:I8"/>
    <mergeCell ref="B19:K19"/>
    <mergeCell ref="B20:K20"/>
    <mergeCell ref="L20:M20"/>
    <mergeCell ref="B21:K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3"/>
  <sheetViews>
    <sheetView showGridLines="0" zoomScale="170" zoomScaleNormal="170" workbookViewId="0">
      <selection sqref="A1:O7"/>
    </sheetView>
  </sheetViews>
  <sheetFormatPr defaultRowHeight="12.75"/>
  <cols>
    <col min="1" max="1" width="6.140625" style="175" customWidth="1"/>
    <col min="2" max="2" width="11.85546875" style="175" customWidth="1"/>
    <col min="3" max="7" width="8.140625" style="175" bestFit="1" customWidth="1"/>
    <col min="8" max="9" width="7.42578125" style="175" customWidth="1"/>
    <col min="10" max="10" width="9.28515625" style="175" bestFit="1" customWidth="1"/>
    <col min="11" max="11" width="13.85546875" style="175" hidden="1" customWidth="1"/>
    <col min="12" max="12" width="10.85546875" style="175" bestFit="1" customWidth="1"/>
    <col min="13" max="14" width="10.42578125" style="175" bestFit="1" customWidth="1"/>
    <col min="15" max="15" width="11.5703125" style="175" bestFit="1" customWidth="1"/>
    <col min="16" max="16384" width="9.140625" style="175"/>
  </cols>
  <sheetData>
    <row r="1" spans="1:15" ht="30" customHeight="1">
      <c r="A1" s="170" t="s">
        <v>282</v>
      </c>
      <c r="B1" s="171"/>
      <c r="C1" s="172" t="s">
        <v>280</v>
      </c>
      <c r="D1" s="172"/>
      <c r="E1" s="172"/>
      <c r="F1" s="172"/>
      <c r="G1" s="172"/>
      <c r="H1" s="172"/>
      <c r="I1" s="172"/>
      <c r="J1" s="173"/>
      <c r="K1" s="174" t="s">
        <v>276</v>
      </c>
      <c r="L1" s="172" t="s">
        <v>281</v>
      </c>
      <c r="M1" s="172"/>
      <c r="N1" s="172"/>
      <c r="O1" s="172"/>
    </row>
    <row r="2" spans="1:15">
      <c r="A2" s="176"/>
      <c r="B2" s="177"/>
      <c r="C2" s="178" t="s">
        <v>272</v>
      </c>
      <c r="D2" s="178" t="s">
        <v>273</v>
      </c>
      <c r="E2" s="178" t="s">
        <v>274</v>
      </c>
      <c r="F2" s="178" t="s">
        <v>275</v>
      </c>
      <c r="G2" s="178" t="s">
        <v>277</v>
      </c>
      <c r="H2" s="178" t="s">
        <v>278</v>
      </c>
      <c r="I2" s="178" t="s">
        <v>279</v>
      </c>
      <c r="J2" s="179" t="s">
        <v>61</v>
      </c>
      <c r="K2" s="180"/>
      <c r="L2" s="181" t="s">
        <v>277</v>
      </c>
      <c r="M2" s="182" t="s">
        <v>278</v>
      </c>
      <c r="N2" s="182" t="s">
        <v>279</v>
      </c>
      <c r="O2" s="182" t="s">
        <v>61</v>
      </c>
    </row>
    <row r="3" spans="1:15">
      <c r="A3" s="183" t="s">
        <v>272</v>
      </c>
      <c r="B3" s="184">
        <v>100</v>
      </c>
      <c r="C3" s="185" t="s">
        <v>62</v>
      </c>
      <c r="D3" s="186">
        <v>0.3</v>
      </c>
      <c r="E3" s="186">
        <v>0.06</v>
      </c>
      <c r="F3" s="186">
        <v>0.05</v>
      </c>
      <c r="G3" s="186">
        <v>0.5</v>
      </c>
      <c r="H3" s="186">
        <v>0.1</v>
      </c>
      <c r="I3" s="186">
        <v>0.04</v>
      </c>
      <c r="J3" s="186">
        <v>1</v>
      </c>
      <c r="K3" s="184">
        <v>74698.997028781421</v>
      </c>
      <c r="L3" s="184">
        <f t="shared" ref="L3:N6" si="0">$K3*G3</f>
        <v>37349.498514390711</v>
      </c>
      <c r="M3" s="184">
        <f t="shared" si="0"/>
        <v>7469.8997028781423</v>
      </c>
      <c r="N3" s="184">
        <f t="shared" si="0"/>
        <v>2987.9598811512569</v>
      </c>
      <c r="O3" s="184">
        <f>SUM(L3:N3)</f>
        <v>47807.358098420111</v>
      </c>
    </row>
    <row r="4" spans="1:15">
      <c r="A4" s="183" t="s">
        <v>273</v>
      </c>
      <c r="B4" s="184">
        <v>1000</v>
      </c>
      <c r="C4" s="186">
        <v>0.37</v>
      </c>
      <c r="D4" s="185" t="s">
        <v>62</v>
      </c>
      <c r="E4" s="186">
        <v>0.23</v>
      </c>
      <c r="F4" s="186">
        <v>0.1</v>
      </c>
      <c r="G4" s="186">
        <v>0.1</v>
      </c>
      <c r="H4" s="186">
        <v>0.08</v>
      </c>
      <c r="I4" s="186">
        <v>0.12</v>
      </c>
      <c r="J4" s="186">
        <f>SUM(C4:I4)</f>
        <v>0.99999999999999989</v>
      </c>
      <c r="K4" s="184">
        <v>71275.861726875373</v>
      </c>
      <c r="L4" s="184">
        <f t="shared" si="0"/>
        <v>7127.5861726875373</v>
      </c>
      <c r="M4" s="184">
        <f t="shared" si="0"/>
        <v>5702.0689381500297</v>
      </c>
      <c r="N4" s="184">
        <f t="shared" si="0"/>
        <v>8553.1034072250441</v>
      </c>
      <c r="O4" s="184">
        <f>SUM(L4:N4)</f>
        <v>21382.758518062612</v>
      </c>
    </row>
    <row r="5" spans="1:15">
      <c r="A5" s="183" t="s">
        <v>274</v>
      </c>
      <c r="B5" s="184">
        <v>10000</v>
      </c>
      <c r="C5" s="186">
        <v>0.28000000000000003</v>
      </c>
      <c r="D5" s="186">
        <v>0.36</v>
      </c>
      <c r="E5" s="185" t="s">
        <v>62</v>
      </c>
      <c r="F5" s="186">
        <v>0.2</v>
      </c>
      <c r="G5" s="186">
        <v>0.1</v>
      </c>
      <c r="H5" s="186">
        <v>0.02</v>
      </c>
      <c r="I5" s="186">
        <v>0.04</v>
      </c>
      <c r="J5" s="186">
        <f>SUM(C5:I5)</f>
        <v>1</v>
      </c>
      <c r="K5" s="184">
        <v>73571.513162097981</v>
      </c>
      <c r="L5" s="184">
        <f t="shared" si="0"/>
        <v>7357.1513162097981</v>
      </c>
      <c r="M5" s="184">
        <f t="shared" si="0"/>
        <v>1471.4302632419597</v>
      </c>
      <c r="N5" s="184">
        <f t="shared" si="0"/>
        <v>2942.8605264839193</v>
      </c>
      <c r="O5" s="184">
        <f>SUM(L5:N5)</f>
        <v>11771.442105935677</v>
      </c>
    </row>
    <row r="6" spans="1:15">
      <c r="A6" s="183" t="s">
        <v>275</v>
      </c>
      <c r="B6" s="184">
        <v>100000</v>
      </c>
      <c r="C6" s="186">
        <v>0.22</v>
      </c>
      <c r="D6" s="186">
        <v>0.2</v>
      </c>
      <c r="E6" s="186">
        <v>0.34</v>
      </c>
      <c r="F6" s="185" t="s">
        <v>62</v>
      </c>
      <c r="G6" s="186">
        <v>0.1</v>
      </c>
      <c r="H6" s="186">
        <v>0.06</v>
      </c>
      <c r="I6" s="186">
        <v>0.08</v>
      </c>
      <c r="J6" s="186">
        <f>SUM(C6:I6)</f>
        <v>0.99999999999999989</v>
      </c>
      <c r="K6" s="184">
        <v>125576.83865659015</v>
      </c>
      <c r="L6" s="184">
        <f t="shared" si="0"/>
        <v>12557.683865659015</v>
      </c>
      <c r="M6" s="184">
        <f t="shared" si="0"/>
        <v>7534.6103193954086</v>
      </c>
      <c r="N6" s="184">
        <f t="shared" si="0"/>
        <v>10046.147092527211</v>
      </c>
      <c r="O6" s="184">
        <f>SUM(L6:N6)</f>
        <v>30138.441277581634</v>
      </c>
    </row>
    <row r="7" spans="1:15">
      <c r="B7" s="187">
        <f>SUM(B3:B6)</f>
        <v>111100</v>
      </c>
      <c r="C7" s="188" t="s">
        <v>62</v>
      </c>
      <c r="D7" s="189"/>
      <c r="E7" s="189"/>
      <c r="F7" s="189"/>
      <c r="G7" s="189"/>
      <c r="H7" s="189"/>
      <c r="I7" s="189"/>
      <c r="J7" s="189"/>
      <c r="K7" s="190"/>
      <c r="L7" s="187">
        <f>SUM(L3:L6)</f>
        <v>64391.919868947065</v>
      </c>
      <c r="M7" s="187">
        <f>SUM(M3:M6)</f>
        <v>22178.00922366554</v>
      </c>
      <c r="N7" s="187">
        <f>SUM(N3:N6)</f>
        <v>24530.070907387431</v>
      </c>
      <c r="O7" s="187">
        <f>SUM(O3:O6)</f>
        <v>111100.00000000004</v>
      </c>
    </row>
    <row r="8" spans="1:15">
      <c r="B8" s="191"/>
      <c r="E8" s="192"/>
      <c r="G8" s="192"/>
      <c r="H8" s="192"/>
      <c r="I8" s="192"/>
      <c r="J8" s="192"/>
      <c r="K8" s="192"/>
      <c r="M8" s="192"/>
    </row>
    <row r="13" spans="1:15">
      <c r="C13" s="193"/>
    </row>
  </sheetData>
  <sheetProtection algorithmName="SHA-512" hashValue="uW6pZxqPJMCUigpsstgsPuZ1FF5jHp7bCtDhWmztBf/MXxkXy3wav5fi3vm7cJ6Th/RzDppRT0uZrXD1p/ngGw==" saltValue="uemQbTR91mL/gKfG60IvBg==" spinCount="100000" sheet="1" objects="1" scenarios="1" formatColumns="0" formatRows="0"/>
  <scenarios current="0">
    <scenario name="Preúčtovanie" count="3" user="Mito" comment="Created by Mito on 9/20/2015">
      <inputCells r="K3" val="3314.28571428571"/>
      <inputCells r="K4" val="7785.71428571429"/>
      <inputCells r="K5" val="0"/>
    </scenario>
  </scenarios>
  <mergeCells count="5">
    <mergeCell ref="K1:K2"/>
    <mergeCell ref="C7:K7"/>
    <mergeCell ref="C1:I1"/>
    <mergeCell ref="L1:O1"/>
    <mergeCell ref="A1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showGridLines="0" zoomScaleNormal="100" workbookViewId="0">
      <selection activeCell="C5" sqref="C5"/>
    </sheetView>
  </sheetViews>
  <sheetFormatPr defaultRowHeight="15"/>
  <cols>
    <col min="1" max="2" width="47.140625" style="88" customWidth="1"/>
    <col min="3" max="3" width="29.5703125" style="88" customWidth="1"/>
    <col min="4" max="16384" width="9.140625" style="88"/>
  </cols>
  <sheetData>
    <row r="2" spans="1:4">
      <c r="A2" s="194"/>
      <c r="B2" s="194"/>
    </row>
    <row r="3" spans="1:4">
      <c r="A3" s="195" t="s">
        <v>293</v>
      </c>
      <c r="B3" s="88" t="s">
        <v>296</v>
      </c>
    </row>
    <row r="4" spans="1:4">
      <c r="A4" s="196"/>
    </row>
    <row r="5" spans="1:4">
      <c r="A5" s="196"/>
    </row>
    <row r="7" spans="1:4">
      <c r="A7" s="194"/>
      <c r="B7" s="194"/>
    </row>
    <row r="8" spans="1:4" ht="30">
      <c r="A8" s="195" t="s">
        <v>293</v>
      </c>
      <c r="B8" s="88" t="s">
        <v>297</v>
      </c>
    </row>
    <row r="9" spans="1:4">
      <c r="A9" s="196"/>
    </row>
    <row r="10" spans="1:4" ht="30">
      <c r="A10" s="196" t="s">
        <v>294</v>
      </c>
      <c r="B10" s="88" t="s">
        <v>299</v>
      </c>
      <c r="D10" s="197" t="s">
        <v>298</v>
      </c>
    </row>
    <row r="11" spans="1:4">
      <c r="A11" s="196"/>
    </row>
    <row r="13" spans="1:4">
      <c r="A13" s="194"/>
      <c r="B13" s="194"/>
    </row>
    <row r="14" spans="1:4" ht="30">
      <c r="A14" s="195" t="s">
        <v>293</v>
      </c>
      <c r="B14" s="88" t="s">
        <v>295</v>
      </c>
      <c r="D14" s="197" t="s">
        <v>301</v>
      </c>
    </row>
    <row r="15" spans="1:4">
      <c r="A15" s="196"/>
    </row>
    <row r="16" spans="1:4" ht="30">
      <c r="A16" s="196" t="s">
        <v>294</v>
      </c>
      <c r="B16" s="88" t="s">
        <v>300</v>
      </c>
      <c r="D16" s="197"/>
    </row>
    <row r="18" spans="1:4">
      <c r="A18" s="194"/>
      <c r="B18" s="194"/>
    </row>
    <row r="19" spans="1:4" ht="30">
      <c r="A19" s="195" t="s">
        <v>293</v>
      </c>
      <c r="B19" s="88" t="s">
        <v>295</v>
      </c>
    </row>
    <row r="20" spans="1:4">
      <c r="A20" s="196"/>
    </row>
    <row r="21" spans="1:4" ht="30">
      <c r="A21" s="196" t="s">
        <v>294</v>
      </c>
      <c r="B21" s="88" t="s">
        <v>297</v>
      </c>
      <c r="D21" s="197" t="s">
        <v>302</v>
      </c>
    </row>
  </sheetData>
  <mergeCells count="4">
    <mergeCell ref="A2:B2"/>
    <mergeCell ref="A7:B7"/>
    <mergeCell ref="A13:B13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28</vt:i4>
      </vt:variant>
    </vt:vector>
  </HeadingPairs>
  <TitlesOfParts>
    <vt:vector size="36" baseType="lpstr">
      <vt:lpstr>Variabilné náklady a bod zvratu</vt:lpstr>
      <vt:lpstr>Kalkulácie v nezdruženej výrobe</vt:lpstr>
      <vt:lpstr>Kalkulácie v združenej výrobe</vt:lpstr>
      <vt:lpstr>Kalkulácie (ne)úplných nákladov</vt:lpstr>
      <vt:lpstr>Predbežné kalkulácie</vt:lpstr>
      <vt:lpstr>Zodpovednostné účtovníctvo</vt:lpstr>
      <vt:lpstr>Preúčtovanie nákladov</vt:lpstr>
      <vt:lpstr>Sheet7</vt:lpstr>
      <vt:lpstr>Analýza_bodu_zvratu__bezpečnostné_rozpätie</vt:lpstr>
      <vt:lpstr>Analýza_bodu_zvratu__citlivosť_na_pokles_tržieb</vt:lpstr>
      <vt:lpstr>Analýza_bodu_zvratu__citlivosť_na_vzrast_fixných_nákladov</vt:lpstr>
      <vt:lpstr>Analýza_bodu_zvratu__citlivosť_na_vzrast_variabilných_nákladov_na_jednotku</vt:lpstr>
      <vt:lpstr>Analýza_bodu_zvratu__objem_tržieb_potrebný_na_dosiahnutie_cieľového_zisku</vt:lpstr>
      <vt:lpstr>Analýza_bodu_zvratu__objem_tržieb_potrebný_na_dosiahnutie_cieľovej_rentability</vt:lpstr>
      <vt:lpstr>Analýza_bodu_zvratu__objem_tržieb_potrebný_na_dosiahnutie_nulového_zisku</vt:lpstr>
      <vt:lpstr>Analýza_bodu_zvratu__objem_výroby_a_predaja_potrebný_na_dosiahnutie_cieľového_zisku</vt:lpstr>
      <vt:lpstr>Analýza_bodu_zvratu__objem_výroby_a_predaja_potrebný_na_dosiahnutie_cieľovej_rentability</vt:lpstr>
      <vt:lpstr>Analýza_bodu_zvratu__objem_výroby_a_predaja_potrebný_na_dosiahnutie_nulového_zisku</vt:lpstr>
      <vt:lpstr>Kalkulácia_cieľových_nákladov</vt:lpstr>
      <vt:lpstr>Kalkulácia_jednoduchým_delením</vt:lpstr>
      <vt:lpstr>Kalkulácia_neúplných_nákladov</vt:lpstr>
      <vt:lpstr>Kalkulácia_odpočítaním</vt:lpstr>
      <vt:lpstr>Kalkulácia_podľa_čiastkových_činností__Activity_Based_Costing__ABC</vt:lpstr>
      <vt:lpstr>Kalkulácia_úplných_nákladov</vt:lpstr>
      <vt:lpstr>'Kalkulácie (ne)úplných nákladov'!Print_Area</vt:lpstr>
      <vt:lpstr>'Kalkulácie v nezdruženej výrobe'!Print_Area</vt:lpstr>
      <vt:lpstr>'Kalkulácie v združenej výrobe'!Print_Area</vt:lpstr>
      <vt:lpstr>'Predbežné kalkulácie'!Print_Area</vt:lpstr>
      <vt:lpstr>'Variabilné náklady a bod zvratu'!Print_Area</vt:lpstr>
      <vt:lpstr>Prirážková_kalkulácia</vt:lpstr>
      <vt:lpstr>Rozdeľovanie_fixných_a_variabilných_nákladov</vt:lpstr>
      <vt:lpstr>Rozpočítanie_s_využitím_percenta_obchodnej_marže</vt:lpstr>
      <vt:lpstr>Tradičná_kalkulácia_rozpočítaním</vt:lpstr>
      <vt:lpstr>Variabilné_a_fixné_náklady_a_koeficient_elasticity</vt:lpstr>
      <vt:lpstr>Vnútroorganizačné_účtovníctvo</vt:lpstr>
      <vt:lpstr>Výber_predbežnej_kalkulácie_nákladov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</dc:creator>
  <cp:lastModifiedBy>Mito</cp:lastModifiedBy>
  <cp:lastPrinted>2015-09-13T18:38:40Z</cp:lastPrinted>
  <dcterms:created xsi:type="dcterms:W3CDTF">2015-09-11T07:38:46Z</dcterms:created>
  <dcterms:modified xsi:type="dcterms:W3CDTF">2015-10-10T06:28:07Z</dcterms:modified>
</cp:coreProperties>
</file>